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EFEKTY EKOLOGICZNE\OA-EFEKTY EKOLOGICZNE\"/>
    </mc:Choice>
  </mc:AlternateContent>
  <xr:revisionPtr revIDLastSave="0" documentId="13_ncr:1_{036F1359-45E6-4D02-85AA-13D059D3100E}" xr6:coauthVersionLast="47" xr6:coauthVersionMax="47" xr10:uidLastSave="{00000000-0000-0000-0000-000000000000}"/>
  <workbookProtection workbookAlgorithmName="SHA-512" workbookHashValue="jvSPV8/U74Qt6m2rEL+7xENRv3H94TzmbaOrvF3N5fV7G9T18fasrvFT7eOYd+suu0+Dx2SLGHEKbQhkd8vonA==" workbookSaltValue="SFNyII0RoZZBwDTmrBKmRw==" workbookSpinCount="100000" lockStructure="1"/>
  <bookViews>
    <workbookView xWindow="-120" yWindow="-120" windowWidth="29040" windowHeight="15840" xr2:uid="{00000000-000D-0000-FFFF-FFFF00000000}"/>
  </bookViews>
  <sheets>
    <sheet name="Instrukcja" sheetId="6" r:id="rId1"/>
    <sheet name="Wydruk" sheetId="5" state="hidden" r:id="rId2"/>
    <sheet name="Efekt OA-I" sheetId="7" r:id="rId3"/>
    <sheet name="Efekt OA-II" sheetId="8" r:id="rId4"/>
    <sheet name="Efekt OA-III" sheetId="9" r:id="rId5"/>
    <sheet name="Efekt OA-IV" sheetId="10" r:id="rId6"/>
    <sheet name="KOBIZE" sheetId="11" state="hidden" r:id="rId7"/>
    <sheet name="Podsumowanie" sheetId="2" state="hidden" r:id="rId8"/>
  </sheets>
  <definedNames>
    <definedName name="_xlnm.Print_Area" localSheetId="2">'Efekt OA-I'!$A$1:$F$60</definedName>
    <definedName name="_xlnm.Print_Area" localSheetId="3">'Efekt OA-II'!$A$1:$H$90</definedName>
    <definedName name="_xlnm.Print_Area" localSheetId="4">'Efekt OA-III'!$A$1:$O$82</definedName>
    <definedName name="_xlnm.Print_Area" localSheetId="5">'Efekt OA-IV'!$A$1:$T$66</definedName>
    <definedName name="_xlnm.Print_Area" localSheetId="7">Podsumowanie!$B$5:$L$39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0" l="1"/>
  <c r="M28" i="10"/>
  <c r="M27" i="10"/>
  <c r="D23" i="8" l="1"/>
  <c r="D21" i="8"/>
  <c r="C23" i="8"/>
  <c r="C21" i="8"/>
  <c r="D16" i="8"/>
  <c r="D33" i="9" l="1"/>
  <c r="C33" i="9"/>
  <c r="C31" i="9"/>
  <c r="D31" i="9"/>
  <c r="D29" i="9"/>
  <c r="D26" i="9"/>
  <c r="K54" i="9"/>
  <c r="F54" i="9"/>
  <c r="H72" i="8"/>
  <c r="F72" i="8"/>
  <c r="F252" i="8"/>
  <c r="F253" i="8" s="1"/>
  <c r="B252" i="8"/>
  <c r="B253" i="8" s="1"/>
  <c r="H249" i="7"/>
  <c r="H225" i="7"/>
  <c r="H224" i="7"/>
  <c r="H233" i="7" s="1"/>
  <c r="J224" i="7"/>
  <c r="J249" i="7" s="1"/>
  <c r="D225" i="7"/>
  <c r="D222" i="7"/>
  <c r="D224" i="7" s="1"/>
  <c r="B222" i="7"/>
  <c r="B225" i="7" s="1"/>
  <c r="Q147" i="8"/>
  <c r="O147" i="8"/>
  <c r="M117" i="7"/>
  <c r="W140" i="8"/>
  <c r="W136" i="8"/>
  <c r="T111" i="7"/>
  <c r="T110" i="7"/>
  <c r="T107" i="7"/>
  <c r="T106" i="7"/>
  <c r="O117" i="7"/>
  <c r="N16" i="9"/>
  <c r="B254" i="8" l="1"/>
  <c r="B255" i="8"/>
  <c r="F254" i="8"/>
  <c r="F255" i="8"/>
  <c r="B223" i="7"/>
  <c r="B224" i="7"/>
  <c r="D223" i="7"/>
  <c r="H247" i="7"/>
  <c r="J250" i="7"/>
  <c r="H248" i="7"/>
  <c r="H250" i="7"/>
  <c r="J233" i="7"/>
  <c r="J246" i="7"/>
  <c r="J247" i="7"/>
  <c r="J248" i="7"/>
  <c r="H246" i="7"/>
  <c r="J254" i="8"/>
  <c r="J263" i="8" l="1"/>
  <c r="J262" i="8"/>
  <c r="J279" i="8"/>
  <c r="J280" i="8"/>
  <c r="J278" i="8"/>
  <c r="J261" i="8"/>
  <c r="J277" i="8"/>
  <c r="J276" i="8"/>
  <c r="J266" i="8"/>
  <c r="J271" i="8"/>
  <c r="J257" i="8"/>
  <c r="J267" i="8"/>
  <c r="J273" i="8"/>
  <c r="J258" i="8"/>
  <c r="J269" i="8"/>
  <c r="J274" i="8"/>
  <c r="J259" i="8"/>
  <c r="J265" i="8"/>
  <c r="J270" i="8"/>
  <c r="J275" i="8"/>
  <c r="J256" i="8"/>
  <c r="J260" i="8"/>
  <c r="J264" i="8"/>
  <c r="J268" i="8"/>
  <c r="J272" i="8"/>
  <c r="B264" i="8" l="1"/>
  <c r="B260" i="8"/>
  <c r="B256" i="8"/>
  <c r="B263" i="8"/>
  <c r="B259" i="8"/>
  <c r="B266" i="8"/>
  <c r="B262" i="8"/>
  <c r="B258" i="8"/>
  <c r="B265" i="8"/>
  <c r="B261" i="8"/>
  <c r="B257" i="8"/>
  <c r="J126" i="10"/>
  <c r="H126" i="10"/>
  <c r="H130" i="9"/>
  <c r="D138" i="10"/>
  <c r="B138" i="10"/>
  <c r="D137" i="10"/>
  <c r="B137" i="10"/>
  <c r="D136" i="10"/>
  <c r="B136" i="10"/>
  <c r="D135" i="10"/>
  <c r="B135" i="10"/>
  <c r="D134" i="10"/>
  <c r="B134" i="10"/>
  <c r="D133" i="10"/>
  <c r="B133" i="10"/>
  <c r="D132" i="10"/>
  <c r="B132" i="10"/>
  <c r="D131" i="10"/>
  <c r="B131" i="10"/>
  <c r="D130" i="10"/>
  <c r="B130" i="10"/>
  <c r="D129" i="10"/>
  <c r="B129" i="10"/>
  <c r="D128" i="10"/>
  <c r="B128" i="10"/>
  <c r="D127" i="10"/>
  <c r="B127" i="10"/>
  <c r="D126" i="10"/>
  <c r="B126" i="10"/>
  <c r="J148" i="10" l="1"/>
  <c r="J149" i="10"/>
  <c r="J151" i="10"/>
  <c r="J135" i="10"/>
  <c r="J152" i="10"/>
  <c r="J150" i="10"/>
  <c r="H135" i="10"/>
  <c r="H149" i="10"/>
  <c r="H151" i="10"/>
  <c r="H134" i="10"/>
  <c r="H131" i="10"/>
  <c r="H148" i="10"/>
  <c r="H147" i="10"/>
  <c r="H150" i="10"/>
  <c r="H152" i="10"/>
  <c r="J141" i="10"/>
  <c r="J143" i="10"/>
  <c r="J142" i="10"/>
  <c r="J144" i="10"/>
  <c r="H130" i="10"/>
  <c r="H129" i="10"/>
  <c r="J130" i="10"/>
  <c r="J133" i="10"/>
  <c r="J137" i="10"/>
  <c r="J147" i="10"/>
  <c r="J128" i="10"/>
  <c r="J127" i="10"/>
  <c r="J139" i="10"/>
  <c r="J145" i="10"/>
  <c r="J129" i="10"/>
  <c r="J131" i="10"/>
  <c r="J132" i="10"/>
  <c r="J134" i="10"/>
  <c r="J136" i="10"/>
  <c r="J138" i="10"/>
  <c r="J140" i="10"/>
  <c r="J146" i="10"/>
  <c r="H142" i="10"/>
  <c r="H141" i="10"/>
  <c r="H143" i="10"/>
  <c r="H127" i="10"/>
  <c r="H132" i="10"/>
  <c r="H136" i="10"/>
  <c r="H138" i="10"/>
  <c r="H140" i="10"/>
  <c r="H144" i="10"/>
  <c r="H146" i="10"/>
  <c r="H128" i="10"/>
  <c r="H133" i="10"/>
  <c r="H137" i="10"/>
  <c r="H139" i="10"/>
  <c r="H145" i="10"/>
  <c r="H154" i="10" l="1"/>
  <c r="H153" i="10"/>
  <c r="J154" i="10"/>
  <c r="J153" i="10"/>
  <c r="J129" i="9"/>
  <c r="H129" i="9"/>
  <c r="B129" i="9"/>
  <c r="D129" i="9"/>
  <c r="B130" i="9"/>
  <c r="D130" i="9"/>
  <c r="J130" i="9"/>
  <c r="B131" i="9"/>
  <c r="D131" i="9"/>
  <c r="B132" i="9"/>
  <c r="D132" i="9"/>
  <c r="B133" i="9"/>
  <c r="D133" i="9"/>
  <c r="B134" i="9"/>
  <c r="D134" i="9"/>
  <c r="B135" i="9"/>
  <c r="D135" i="9"/>
  <c r="B136" i="9"/>
  <c r="D136" i="9"/>
  <c r="B137" i="9"/>
  <c r="D137" i="9"/>
  <c r="B138" i="9"/>
  <c r="D138" i="9"/>
  <c r="B139" i="9"/>
  <c r="D139" i="9"/>
  <c r="B140" i="9"/>
  <c r="D140" i="9"/>
  <c r="B141" i="9"/>
  <c r="D141" i="9"/>
  <c r="L255" i="8"/>
  <c r="J255" i="8"/>
  <c r="L254" i="8"/>
  <c r="J137" i="9" l="1"/>
  <c r="J136" i="9"/>
  <c r="J153" i="9"/>
  <c r="J151" i="9"/>
  <c r="J138" i="9"/>
  <c r="J154" i="9"/>
  <c r="J152" i="9"/>
  <c r="H133" i="9"/>
  <c r="H154" i="9"/>
  <c r="H153" i="9"/>
  <c r="H152" i="9"/>
  <c r="H151" i="9"/>
  <c r="H137" i="9"/>
  <c r="H150" i="9"/>
  <c r="H138" i="9"/>
  <c r="L277" i="8"/>
  <c r="L276" i="8"/>
  <c r="L278" i="8"/>
  <c r="L263" i="8"/>
  <c r="L279" i="8"/>
  <c r="L280" i="8"/>
  <c r="L273" i="8"/>
  <c r="L269" i="8"/>
  <c r="L265" i="8"/>
  <c r="L261" i="8"/>
  <c r="L257" i="8"/>
  <c r="L272" i="8"/>
  <c r="L268" i="8"/>
  <c r="L264" i="8"/>
  <c r="L260" i="8"/>
  <c r="L256" i="8"/>
  <c r="L275" i="8"/>
  <c r="L271" i="8"/>
  <c r="L267" i="8"/>
  <c r="L259" i="8"/>
  <c r="L274" i="8"/>
  <c r="L270" i="8"/>
  <c r="L266" i="8"/>
  <c r="L262" i="8"/>
  <c r="L258" i="8"/>
  <c r="F265" i="8"/>
  <c r="F261" i="8"/>
  <c r="F257" i="8"/>
  <c r="F264" i="8"/>
  <c r="F260" i="8"/>
  <c r="F256" i="8"/>
  <c r="F263" i="8"/>
  <c r="F259" i="8"/>
  <c r="F266" i="8"/>
  <c r="F262" i="8"/>
  <c r="F258" i="8"/>
  <c r="H134" i="9"/>
  <c r="H135" i="9"/>
  <c r="H139" i="9"/>
  <c r="H141" i="9"/>
  <c r="H143" i="9"/>
  <c r="H145" i="9"/>
  <c r="H147" i="9"/>
  <c r="H149" i="9"/>
  <c r="H132" i="9"/>
  <c r="H136" i="9"/>
  <c r="H140" i="9"/>
  <c r="H142" i="9"/>
  <c r="H144" i="9"/>
  <c r="H146" i="9"/>
  <c r="H148" i="9"/>
  <c r="H131" i="9"/>
  <c r="J133" i="9"/>
  <c r="J141" i="9"/>
  <c r="J134" i="9"/>
  <c r="J131" i="9"/>
  <c r="J139" i="9"/>
  <c r="J143" i="9"/>
  <c r="J132" i="9"/>
  <c r="J135" i="9"/>
  <c r="J140" i="9"/>
  <c r="J142" i="9"/>
  <c r="J144" i="9"/>
  <c r="J146" i="9"/>
  <c r="J148" i="9"/>
  <c r="J150" i="9"/>
  <c r="J145" i="9"/>
  <c r="J147" i="9"/>
  <c r="J149" i="9"/>
  <c r="J226" i="7"/>
  <c r="H228" i="7"/>
  <c r="H230" i="7"/>
  <c r="H232" i="7"/>
  <c r="H234" i="7"/>
  <c r="H236" i="7"/>
  <c r="H238" i="7"/>
  <c r="H240" i="7"/>
  <c r="H242" i="7"/>
  <c r="H244" i="7"/>
  <c r="H226" i="7"/>
  <c r="H227" i="7"/>
  <c r="H229" i="7"/>
  <c r="H231" i="7"/>
  <c r="H235" i="7"/>
  <c r="H237" i="7"/>
  <c r="H239" i="7"/>
  <c r="H241" i="7"/>
  <c r="H243" i="7"/>
  <c r="H245" i="7"/>
  <c r="J227" i="7"/>
  <c r="J229" i="7"/>
  <c r="J230" i="7"/>
  <c r="J232" i="7"/>
  <c r="J234" i="7"/>
  <c r="J236" i="7"/>
  <c r="J238" i="7"/>
  <c r="J240" i="7"/>
  <c r="J242" i="7"/>
  <c r="J244" i="7"/>
  <c r="J228" i="7"/>
  <c r="J225" i="7"/>
  <c r="J231" i="7"/>
  <c r="J235" i="7"/>
  <c r="J237" i="7"/>
  <c r="J239" i="7"/>
  <c r="J241" i="7"/>
  <c r="J243" i="7"/>
  <c r="J245" i="7"/>
  <c r="D19" i="8" l="1"/>
  <c r="M123" i="7" l="1"/>
  <c r="M120" i="7"/>
  <c r="M124" i="7" l="1"/>
  <c r="W141" i="8" l="1"/>
  <c r="W137" i="8"/>
  <c r="B77" i="9" l="1"/>
  <c r="O50" i="10" l="1"/>
  <c r="O51" i="10"/>
  <c r="I50" i="10"/>
  <c r="I56" i="10" s="1"/>
  <c r="I51" i="10"/>
  <c r="M43" i="10"/>
  <c r="M35" i="10"/>
  <c r="M36" i="10" s="1"/>
  <c r="F55" i="9"/>
  <c r="F60" i="9" s="1"/>
  <c r="L56" i="10" l="1"/>
  <c r="K55" i="9"/>
  <c r="I60" i="9" s="1"/>
  <c r="L60" i="9" s="1"/>
  <c r="N60" i="9" s="1"/>
  <c r="N302" i="8" l="1"/>
  <c r="N301" i="8"/>
  <c r="N300" i="8"/>
  <c r="N299" i="8"/>
  <c r="G299" i="8"/>
  <c r="N298" i="8"/>
  <c r="AU188" i="8"/>
  <c r="AT188" i="8"/>
  <c r="AS188" i="8"/>
  <c r="AQ188" i="8"/>
  <c r="AP188" i="8"/>
  <c r="AU187" i="8"/>
  <c r="AT187" i="8"/>
  <c r="AS187" i="8"/>
  <c r="AQ187" i="8"/>
  <c r="AP187" i="8"/>
  <c r="AU186" i="8"/>
  <c r="AT186" i="8"/>
  <c r="AS186" i="8"/>
  <c r="AQ186" i="8"/>
  <c r="AP186" i="8"/>
  <c r="Q159" i="8"/>
  <c r="O159" i="8"/>
  <c r="Q156" i="8"/>
  <c r="O156" i="8"/>
  <c r="Q153" i="8"/>
  <c r="O153" i="8"/>
  <c r="Q150" i="8"/>
  <c r="O150" i="8"/>
  <c r="L166" i="8"/>
  <c r="F50" i="8"/>
  <c r="E73" i="8" s="1"/>
  <c r="B86" i="8"/>
  <c r="F73" i="8" l="1"/>
  <c r="E72" i="8"/>
  <c r="E75" i="8" s="1"/>
  <c r="H73" i="8"/>
  <c r="G72" i="8"/>
  <c r="G75" i="8" s="1"/>
  <c r="O154" i="8"/>
  <c r="W168" i="8" s="1"/>
  <c r="F166" i="8"/>
  <c r="G166" i="8"/>
  <c r="H50" i="8"/>
  <c r="G73" i="8" s="1"/>
  <c r="K166" i="8"/>
  <c r="Q154" i="8"/>
  <c r="W167" i="8" s="1"/>
  <c r="X167" i="8"/>
  <c r="O160" i="8"/>
  <c r="Q160" i="8"/>
  <c r="E74" i="8" l="1"/>
  <c r="E80" i="8" s="1"/>
  <c r="G74" i="8"/>
  <c r="T184" i="8"/>
  <c r="T183" i="8"/>
  <c r="T182" i="8"/>
  <c r="T185" i="8"/>
  <c r="G302" i="8"/>
  <c r="G300" i="8"/>
  <c r="G298" i="8"/>
  <c r="G301" i="8"/>
  <c r="T175" i="8"/>
  <c r="T174" i="8"/>
  <c r="T173" i="8"/>
  <c r="T176" i="8"/>
  <c r="F80" i="8" l="1"/>
  <c r="G80" i="8" s="1"/>
  <c r="H80" i="8" s="1"/>
  <c r="O162" i="8"/>
  <c r="O164" i="8" s="1"/>
  <c r="O186" i="8" s="1"/>
  <c r="E64" i="8" s="1"/>
  <c r="Q162" i="8"/>
  <c r="Q164" i="8" s="1"/>
  <c r="O185" i="8" l="1"/>
  <c r="O184" i="8"/>
  <c r="E63" i="8" s="1"/>
  <c r="O183" i="8"/>
  <c r="E62" i="8" s="1"/>
  <c r="H62" i="8" s="1"/>
  <c r="O187" i="8"/>
  <c r="E65" i="8" s="1"/>
  <c r="H65" i="8" s="1"/>
  <c r="Q187" i="8"/>
  <c r="K187" i="8" s="1"/>
  <c r="Q186" i="8"/>
  <c r="K186" i="8" s="1"/>
  <c r="Q185" i="8"/>
  <c r="Q184" i="8"/>
  <c r="K184" i="8" s="1"/>
  <c r="Q183" i="8"/>
  <c r="K183" i="8" s="1"/>
  <c r="F62" i="8" l="1"/>
  <c r="G62" i="8" s="1"/>
  <c r="F63" i="8"/>
  <c r="G63" i="8" s="1"/>
  <c r="H63" i="8" s="1"/>
  <c r="F65" i="8"/>
  <c r="G65" i="8" s="1"/>
  <c r="F64" i="8"/>
  <c r="G64" i="8" s="1"/>
  <c r="H64" i="8" s="1"/>
  <c r="B232" i="7" l="1"/>
  <c r="B231" i="7"/>
  <c r="L275" i="7"/>
  <c r="L274" i="7"/>
  <c r="L273" i="7"/>
  <c r="L272" i="7"/>
  <c r="E272" i="7"/>
  <c r="L271" i="7"/>
  <c r="B236" i="7"/>
  <c r="B235" i="7"/>
  <c r="D234" i="7"/>
  <c r="B234" i="7"/>
  <c r="AS158" i="7"/>
  <c r="AR158" i="7"/>
  <c r="AQ158" i="7"/>
  <c r="AO158" i="7"/>
  <c r="AN158" i="7"/>
  <c r="AS157" i="7"/>
  <c r="AR157" i="7"/>
  <c r="AQ157" i="7"/>
  <c r="AO157" i="7"/>
  <c r="AN157" i="7"/>
  <c r="AS156" i="7"/>
  <c r="AR156" i="7"/>
  <c r="AQ156" i="7"/>
  <c r="AO156" i="7"/>
  <c r="AN156" i="7"/>
  <c r="O129" i="7"/>
  <c r="M129" i="7"/>
  <c r="O126" i="7"/>
  <c r="M126" i="7"/>
  <c r="O123" i="7"/>
  <c r="O120" i="7"/>
  <c r="I136" i="7"/>
  <c r="B56" i="7"/>
  <c r="F42" i="7"/>
  <c r="D42" i="7"/>
  <c r="C42" i="7" s="1"/>
  <c r="D43" i="7" l="1"/>
  <c r="C45" i="7"/>
  <c r="F43" i="7"/>
  <c r="E42" i="7"/>
  <c r="E45" i="7" s="1"/>
  <c r="D136" i="7"/>
  <c r="M130" i="7"/>
  <c r="R143" i="7" s="1"/>
  <c r="D20" i="7"/>
  <c r="C43" i="7" s="1"/>
  <c r="D232" i="7"/>
  <c r="D231" i="7"/>
  <c r="E275" i="7"/>
  <c r="E273" i="7"/>
  <c r="E271" i="7"/>
  <c r="E274" i="7"/>
  <c r="D226" i="7"/>
  <c r="D229" i="7"/>
  <c r="D235" i="7"/>
  <c r="D236" i="7"/>
  <c r="O130" i="7"/>
  <c r="R154" i="7" s="1"/>
  <c r="J136" i="7"/>
  <c r="F20" i="7"/>
  <c r="E43" i="7" s="1"/>
  <c r="O124" i="7"/>
  <c r="U137" i="7" s="1"/>
  <c r="E136" i="7"/>
  <c r="V137" i="7"/>
  <c r="D227" i="7"/>
  <c r="D228" i="7"/>
  <c r="D230" i="7"/>
  <c r="D233" i="7"/>
  <c r="B226" i="7"/>
  <c r="B227" i="7"/>
  <c r="B228" i="7"/>
  <c r="B229" i="7"/>
  <c r="B230" i="7"/>
  <c r="B233" i="7"/>
  <c r="U138" i="7" l="1"/>
  <c r="R146" i="7"/>
  <c r="R144" i="7"/>
  <c r="E44" i="7"/>
  <c r="D50" i="7" s="1"/>
  <c r="R145" i="7"/>
  <c r="C44" i="7"/>
  <c r="R155" i="7"/>
  <c r="R153" i="7"/>
  <c r="R152" i="7"/>
  <c r="M132" i="7" l="1"/>
  <c r="M134" i="7" s="1"/>
  <c r="M157" i="7" s="1"/>
  <c r="C35" i="7" s="1"/>
  <c r="O132" i="7"/>
  <c r="O134" i="7" s="1"/>
  <c r="O153" i="7" s="1"/>
  <c r="D32" i="7" s="1"/>
  <c r="C50" i="7"/>
  <c r="M155" i="7" l="1"/>
  <c r="M153" i="7"/>
  <c r="C32" i="7" s="1"/>
  <c r="E32" i="7" s="1"/>
  <c r="F32" i="7" s="1"/>
  <c r="M154" i="7"/>
  <c r="C33" i="7" s="1"/>
  <c r="M156" i="7"/>
  <c r="C34" i="7" s="1"/>
  <c r="O157" i="7"/>
  <c r="D35" i="7" s="1"/>
  <c r="E35" i="7" s="1"/>
  <c r="F35" i="7" s="1"/>
  <c r="O154" i="7"/>
  <c r="D33" i="7" s="1"/>
  <c r="O155" i="7"/>
  <c r="I153" i="7"/>
  <c r="O156" i="7"/>
  <c r="E50" i="7"/>
  <c r="F50" i="7" s="1"/>
  <c r="E33" i="7" l="1"/>
  <c r="F33" i="7" s="1"/>
  <c r="I157" i="7"/>
  <c r="I154" i="7"/>
  <c r="D34" i="7"/>
  <c r="E34" i="7" s="1"/>
  <c r="F34" i="7" s="1"/>
  <c r="I156" i="7"/>
  <c r="B63" i="10" l="1"/>
  <c r="P43" i="10"/>
  <c r="O56" i="10" l="1"/>
  <c r="R56" i="10"/>
  <c r="A5" i="5" l="1"/>
  <c r="A79" i="5"/>
  <c r="C57" i="5"/>
  <c r="A57" i="5"/>
  <c r="C11" i="5" l="1"/>
  <c r="C12" i="5"/>
  <c r="E12" i="5"/>
  <c r="E11" i="5"/>
  <c r="D79" i="5" l="1"/>
  <c r="C39" i="5" l="1"/>
  <c r="E39" i="5"/>
  <c r="E38" i="5"/>
  <c r="E37" i="5"/>
  <c r="C38" i="5"/>
  <c r="C37" i="5"/>
  <c r="E17" i="5"/>
  <c r="E16" i="5"/>
  <c r="E15" i="5"/>
  <c r="E14" i="5"/>
  <c r="E13" i="5"/>
  <c r="C16" i="5"/>
  <c r="C15" i="5"/>
  <c r="C14" i="5"/>
  <c r="C17" i="5"/>
  <c r="C13" i="5"/>
  <c r="C42" i="5" l="1"/>
  <c r="C43" i="5"/>
  <c r="C41" i="5"/>
  <c r="P20" i="2" l="1"/>
  <c r="E42" i="5" l="1"/>
  <c r="E41" i="5"/>
  <c r="E43" i="5"/>
  <c r="P25" i="2"/>
  <c r="P24" i="2"/>
  <c r="P23" i="2"/>
  <c r="P22" i="2"/>
  <c r="P21" i="2"/>
  <c r="P8" i="2"/>
  <c r="P19" i="2"/>
  <c r="P13" i="2"/>
  <c r="P12" i="2"/>
  <c r="P11" i="2"/>
  <c r="P10" i="2"/>
  <c r="P9" i="2"/>
  <c r="P7" i="2"/>
  <c r="C16" i="2" l="1"/>
  <c r="P17" i="2"/>
  <c r="C20" i="2" s="1"/>
  <c r="C21" i="2" s="1"/>
  <c r="C23" i="2" s="1"/>
  <c r="P6" i="2"/>
  <c r="C10" i="2" s="1"/>
  <c r="C11" i="2" s="1"/>
  <c r="C13" i="2" s="1"/>
  <c r="C14" i="2" s="1"/>
  <c r="C6" i="2"/>
  <c r="E23" i="5" l="1"/>
  <c r="C23" i="5"/>
  <c r="C24" i="2"/>
  <c r="E27" i="5" l="1"/>
  <c r="C27" i="5"/>
  <c r="D23" i="5"/>
  <c r="F23" i="5"/>
  <c r="C12" i="2"/>
  <c r="C22" i="2"/>
  <c r="E25" i="5" l="1"/>
  <c r="G24" i="2"/>
  <c r="G21" i="2"/>
  <c r="G23" i="2"/>
  <c r="C22" i="5"/>
  <c r="D22" i="5"/>
  <c r="C25" i="5"/>
  <c r="G11" i="2"/>
  <c r="G13" i="2"/>
  <c r="G10" i="2"/>
  <c r="E10" i="2"/>
  <c r="O22" i="2"/>
  <c r="O12" i="2"/>
  <c r="E23" i="2"/>
  <c r="E21" i="2"/>
  <c r="E24" i="2"/>
  <c r="E14" i="2"/>
  <c r="E11" i="2"/>
  <c r="E13" i="2"/>
  <c r="E22" i="5" l="1"/>
  <c r="F22" i="5"/>
  <c r="E24" i="5"/>
  <c r="G14" i="2"/>
  <c r="E35" i="2" s="1"/>
  <c r="G20" i="2"/>
  <c r="C32" i="5"/>
  <c r="C24" i="5"/>
  <c r="E32" i="2"/>
  <c r="F11" i="2"/>
  <c r="G35" i="2"/>
  <c r="F24" i="2"/>
  <c r="G34" i="2"/>
  <c r="F23" i="2"/>
  <c r="E34" i="2"/>
  <c r="F13" i="2"/>
  <c r="G32" i="2"/>
  <c r="F21" i="2"/>
  <c r="E31" i="2"/>
  <c r="F10" i="2"/>
  <c r="D32" i="5" l="1"/>
  <c r="G22" i="2"/>
  <c r="G33" i="2" s="1"/>
  <c r="F14" i="2"/>
  <c r="C50" i="5"/>
  <c r="D49" i="5"/>
  <c r="D51" i="5"/>
  <c r="C48" i="5"/>
  <c r="C51" i="5"/>
  <c r="D50" i="5"/>
  <c r="C49" i="5"/>
  <c r="H35" i="2"/>
  <c r="H32" i="2"/>
  <c r="H34" i="2"/>
  <c r="G12" i="2"/>
  <c r="E33" i="2" s="1"/>
  <c r="H33" i="2" l="1"/>
  <c r="J33" i="2" s="1"/>
  <c r="J32" i="2"/>
  <c r="E49" i="5"/>
  <c r="J34" i="2"/>
  <c r="E50" i="5"/>
  <c r="J35" i="2"/>
  <c r="E51" i="5"/>
  <c r="E20" i="2"/>
  <c r="E32" i="5" l="1"/>
  <c r="F32" i="5"/>
  <c r="F51" i="5"/>
  <c r="F49" i="5"/>
  <c r="F50" i="5"/>
  <c r="G31" i="2"/>
  <c r="F20" i="2"/>
  <c r="H31" i="2" l="1"/>
  <c r="D48" i="5"/>
  <c r="J31" i="2" l="1"/>
  <c r="E48" i="5"/>
  <c r="F4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  <author>Piątek, Jędrzej</author>
  </authors>
  <commentList>
    <comment ref="B2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24" authorId="1" shapeId="0" xr:uid="{11E36B77-CC34-43A4-B801-D6E7546C0758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B34" authorId="0" shapeId="0" xr:uid="{F3374B68-F7A6-44DB-97B4-454957CF1D51}">
      <text>
        <r>
          <rPr>
            <b/>
            <sz val="9"/>
            <color indexed="81"/>
            <rFont val="Tahoma"/>
            <family val="2"/>
            <charset val="238"/>
          </rPr>
          <t>INNE: należy wymienić pozostałe rodzaje przegród poddane modernizacji</t>
        </r>
      </text>
    </comment>
    <comment ref="E34" authorId="0" shapeId="0" xr:uid="{85953BD7-94BD-4645-AB00-1CDB5568A530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  <comment ref="G34" authorId="0" shapeId="0" xr:uid="{3032C88F-C7E0-4E78-A05A-E4875E088DCE}">
      <text>
        <r>
          <rPr>
            <b/>
            <sz val="9"/>
            <color indexed="81"/>
            <rFont val="Tahoma"/>
            <family val="2"/>
            <charset val="238"/>
          </rPr>
          <t>Należy podać wartość. 
Jeśli nie dotyczy należy wpisać "-".</t>
        </r>
      </text>
    </comment>
  </commentList>
</comments>
</file>

<file path=xl/sharedStrings.xml><?xml version="1.0" encoding="utf-8"?>
<sst xmlns="http://schemas.openxmlformats.org/spreadsheetml/2006/main" count="1336" uniqueCount="390">
  <si>
    <t>palniki pionowe</t>
  </si>
  <si>
    <t>palniki poziome</t>
  </si>
  <si>
    <t>Wybierz paliwo</t>
  </si>
  <si>
    <t>Ruszt mechaniczny</t>
  </si>
  <si>
    <r>
      <t>SO</t>
    </r>
    <r>
      <rPr>
        <vertAlign val="subscript"/>
        <sz val="10"/>
        <rFont val="Arial CE"/>
        <charset val="238"/>
      </rPr>
      <t>2</t>
    </r>
  </si>
  <si>
    <r>
      <t>NO</t>
    </r>
    <r>
      <rPr>
        <vertAlign val="subscript"/>
        <sz val="10"/>
        <rFont val="Arial CE"/>
        <charset val="238"/>
      </rPr>
      <t>2</t>
    </r>
  </si>
  <si>
    <r>
      <t>CO</t>
    </r>
    <r>
      <rPr>
        <vertAlign val="subscript"/>
        <sz val="10"/>
        <rFont val="Arial CE"/>
        <charset val="238"/>
      </rPr>
      <t>2</t>
    </r>
  </si>
  <si>
    <t>CO</t>
  </si>
  <si>
    <t>pył</t>
  </si>
  <si>
    <t>Ruszt stały</t>
  </si>
  <si>
    <t>Wydajność cieplna powyżej 30 MW</t>
  </si>
  <si>
    <t>Wydajność cieplna od 5,5 do 30 MW</t>
  </si>
  <si>
    <t>Wybierz rodzaj palnika</t>
  </si>
  <si>
    <t>Parowe i wodne</t>
  </si>
  <si>
    <t>Wydajność cieplna od 1,4 do 5,5 MW</t>
  </si>
  <si>
    <t>Wydajność cieplna poniżej 1,4 MW</t>
  </si>
  <si>
    <t>Węgiel</t>
  </si>
  <si>
    <t>Ciąg naturalny</t>
  </si>
  <si>
    <t>Koks</t>
  </si>
  <si>
    <t>Ciąg sztuczny</t>
  </si>
  <si>
    <t>Wydajność cieplna powyżej 200 kW</t>
  </si>
  <si>
    <t>Wydajność cieplna od 25 do 200 kW</t>
  </si>
  <si>
    <t>Cały zakres wydajności cieplnej</t>
  </si>
  <si>
    <t>Palnik poziomy</t>
  </si>
  <si>
    <t>Wydajność cieplna powyżej 12 MW (powyżej 20 T/h pary)</t>
  </si>
  <si>
    <t>Wydajność cieplna od 3 do 12 MW ( od 5 do 20 T/h pary)</t>
  </si>
  <si>
    <t>Wydajność cieplna do 3 MW (poniżej 5 T/h pary)</t>
  </si>
  <si>
    <t>Wydajność cieplna poniżej 5,5 MW</t>
  </si>
  <si>
    <t>Wybierz rodzaj rusztu</t>
  </si>
  <si>
    <t>Wybierz rodzaj kotła</t>
  </si>
  <si>
    <t>Wybierz rodzaj ciągu</t>
  </si>
  <si>
    <t>Wybierz zakres wydajności cieplnej</t>
  </si>
  <si>
    <t>PRZED</t>
  </si>
  <si>
    <t>PO</t>
  </si>
  <si>
    <t>Podaj ilość paliwa przed termomodernizacją</t>
  </si>
  <si>
    <t>B=</t>
  </si>
  <si>
    <t>S=</t>
  </si>
  <si>
    <t>%</t>
  </si>
  <si>
    <t>Podaj zawartość popiołu (w %)</t>
  </si>
  <si>
    <t>A'=</t>
  </si>
  <si>
    <t>n=</t>
  </si>
  <si>
    <t>Podaj zawartość części palnych w pyle (w %)</t>
  </si>
  <si>
    <t>k=</t>
  </si>
  <si>
    <t>Tlenek węgla (CO)</t>
  </si>
  <si>
    <t>Pył ogółem</t>
  </si>
  <si>
    <r>
      <t>Dwutlenek siarki (SO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</si>
  <si>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Dwutlenek azotu (NO</t>
    </r>
    <r>
      <rPr>
        <vertAlign val="subscript"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>)</t>
    </r>
  </si>
  <si>
    <r>
      <t>Dwutlenek wegla (CO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</si>
  <si>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t>kg</t>
  </si>
  <si>
    <t>Podaj ilość paliwa po termomodernizacji</t>
  </si>
  <si>
    <t>Przed</t>
  </si>
  <si>
    <t>Po</t>
  </si>
  <si>
    <t>REDUKCJA EMISJI</t>
  </si>
  <si>
    <t>Emisja zanieczyszczeń przed [kg/rok]</t>
  </si>
  <si>
    <t>UWAGA: Proszę zawsze wypełniać wszystkie żółte pola w kolumnach zaczynając od góry</t>
  </si>
  <si>
    <t>węgiel brunatny</t>
  </si>
  <si>
    <t>węgiel kamienny</t>
  </si>
  <si>
    <t>gaz wielkopiecowy</t>
  </si>
  <si>
    <t>gaz koksowniczy</t>
  </si>
  <si>
    <t>gaz rafineryjny</t>
  </si>
  <si>
    <t>półprodukty z przerobu ropy naftowej</t>
  </si>
  <si>
    <t>oleje opałowe</t>
  </si>
  <si>
    <t>olej napędowy (w tym olej opałowy lekki)</t>
  </si>
  <si>
    <t>paliwa odrzutowe</t>
  </si>
  <si>
    <t>benzyny lotnicze</t>
  </si>
  <si>
    <t>benzyny silnikowe</t>
  </si>
  <si>
    <t>gaz ciekły</t>
  </si>
  <si>
    <t>koks i połkoks (w tym gazowy)</t>
  </si>
  <si>
    <t>koks naftowy</t>
  </si>
  <si>
    <t>m3</t>
  </si>
  <si>
    <t>olej opałowy lekki</t>
  </si>
  <si>
    <t>inne produkty naftowe</t>
  </si>
  <si>
    <t>mln m3</t>
  </si>
  <si>
    <t>paliwa gazowe</t>
  </si>
  <si>
    <t>odpady komunalne - biogeniczne</t>
  </si>
  <si>
    <t>ton</t>
  </si>
  <si>
    <t>paliwa stałe</t>
  </si>
  <si>
    <t>Informacyjne ilości paliwa</t>
  </si>
  <si>
    <t>odpady przemysłowe</t>
  </si>
  <si>
    <t>biogaz</t>
  </si>
  <si>
    <t>gaz z odmetanowania kopalń</t>
  </si>
  <si>
    <t>gaz ziemny zaazotowany</t>
  </si>
  <si>
    <t>kg/GJ</t>
  </si>
  <si>
    <t>gaz ziemny wysokometanowy</t>
  </si>
  <si>
    <t>gaz ziemny</t>
  </si>
  <si>
    <t>ropa naftowa</t>
  </si>
  <si>
    <t>MJ/kg</t>
  </si>
  <si>
    <t>brykiety węgla brunatnego</t>
  </si>
  <si>
    <t>brykiety węgla kamiennego</t>
  </si>
  <si>
    <t>Tabela 14</t>
  </si>
  <si>
    <t>Wskaźniki emisji dla węgla kamiennego i brunatnego, obliczone w oparciu o średnie krajowe WO dla tych paliw</t>
  </si>
  <si>
    <t>Tabela 13</t>
  </si>
  <si>
    <t>Paliwa inne niż węgiel</t>
  </si>
  <si>
    <t>Tabela 12</t>
  </si>
  <si>
    <t>Rolnictwo/leśnictwo/rybołówstwo</t>
  </si>
  <si>
    <t>Tabela 11</t>
  </si>
  <si>
    <t>Tabela 10</t>
  </si>
  <si>
    <t>Tabela 9</t>
  </si>
  <si>
    <t>Produkcja artykułów spożywczych, napojów i wyrobów tytoniowych (dział 10, 11 i 12)</t>
  </si>
  <si>
    <t>Tabela 8</t>
  </si>
  <si>
    <t>Tabela 7</t>
  </si>
  <si>
    <t>Tabela 6</t>
  </si>
  <si>
    <t>Tabela 5</t>
  </si>
  <si>
    <t>Tabela 4</t>
  </si>
  <si>
    <t>Tabela 4 . Koksownie</t>
  </si>
  <si>
    <t>Koksownie</t>
  </si>
  <si>
    <t>Tabela 3</t>
  </si>
  <si>
    <t>Tabela 3 . Ciepłownie</t>
  </si>
  <si>
    <t>Produkcja ciepła w ciepłowniach</t>
  </si>
  <si>
    <t>Tabela 2</t>
  </si>
  <si>
    <t>Tabela 2 . Elektrociepłownie przemysłowe</t>
  </si>
  <si>
    <t>Produkcja energii elektrycznej i ciepła w elektrociepłowniach przemysłowych</t>
  </si>
  <si>
    <t>Tabela 1</t>
  </si>
  <si>
    <t>Tabela 1 . Elektrownie i elektrociepłownie zawodowe</t>
  </si>
  <si>
    <t>Produkcja energii elektrycznej i ciepła w elektrowniach i elektrociepłowniach zawodowych</t>
  </si>
  <si>
    <t>Ilość paliwa</t>
  </si>
  <si>
    <t>Współczyniki</t>
  </si>
  <si>
    <t>Wynik</t>
  </si>
  <si>
    <t>Substancja</t>
  </si>
  <si>
    <t>siarka</t>
  </si>
  <si>
    <r>
      <t>NO</t>
    </r>
    <r>
      <rPr>
        <b/>
        <vertAlign val="subscript"/>
        <sz val="10"/>
        <rFont val="Arial CE"/>
        <family val="2"/>
        <charset val="238"/>
      </rPr>
      <t>2</t>
    </r>
  </si>
  <si>
    <r>
      <t>CO</t>
    </r>
    <r>
      <rPr>
        <b/>
        <vertAlign val="subscript"/>
        <sz val="10"/>
        <rFont val="Arial CE"/>
        <family val="2"/>
        <charset val="238"/>
      </rPr>
      <t>2</t>
    </r>
  </si>
  <si>
    <t>2. Obliczenie wielkości emisji przed i po modernizacji kotłowni</t>
  </si>
  <si>
    <t>Rodzaj zanieczyszczenia</t>
  </si>
  <si>
    <t>Wielkość emisji w kg/rok</t>
  </si>
  <si>
    <t>Redukcja emisji</t>
  </si>
  <si>
    <t>Po modernizacji</t>
  </si>
  <si>
    <t>2-3 (kg/rok)</t>
  </si>
  <si>
    <t>4:2 (%)</t>
  </si>
  <si>
    <r>
      <t>Dwutlenek siarki (SO</t>
    </r>
    <r>
      <rPr>
        <vertAlign val="sub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</si>
  <si>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r>
      <t>Dwutlenek azotu (NO</t>
    </r>
    <r>
      <rPr>
        <vertAlign val="subscript"/>
        <sz val="10"/>
        <rFont val="Times New Roman CE"/>
        <family val="1"/>
        <charset val="238"/>
      </rPr>
      <t>x</t>
    </r>
    <r>
      <rPr>
        <sz val="10"/>
        <rFont val="Times New Roman CE"/>
        <family val="1"/>
        <charset val="238"/>
      </rPr>
      <t>)</t>
    </r>
  </si>
  <si>
    <r>
      <t>Dwutlenek wegla (CO</t>
    </r>
    <r>
      <rPr>
        <vertAlign val="sub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</si>
  <si>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>Przed  modernizacją</t>
  </si>
  <si>
    <t>Palnik pionowy</t>
  </si>
  <si>
    <t>Węzeł ciepła</t>
  </si>
  <si>
    <t>Czy jest węzeł</t>
  </si>
  <si>
    <t>przed</t>
  </si>
  <si>
    <t>po</t>
  </si>
  <si>
    <t>Węzeł ciepła - brak oliczeń KOBIZE</t>
  </si>
  <si>
    <t>węzeł ciepła</t>
  </si>
  <si>
    <t>gaz płynny skroplony</t>
  </si>
  <si>
    <t>m3 gazu skrolonego</t>
  </si>
  <si>
    <t>gaz płynny rozprężony</t>
  </si>
  <si>
    <t>Te współczynniki można zmieniać tak jak podaje beneficjent</t>
  </si>
  <si>
    <t xml:space="preserve">Zgodnie z KOBIZE wartość opałowa drewna wynosi </t>
  </si>
  <si>
    <t>Jeżeli beneficjent podaje inaczej to tutaj można to zmienić</t>
  </si>
  <si>
    <t>Produkcja żelaza i stali(grupy z działu 24 z wyjątkiem grup wymienionych poniżej - w tabeli 6)</t>
  </si>
  <si>
    <t>Produkcja metali metali nieżelaznych (grupy: 24.4, 24.53, 24.54)</t>
  </si>
  <si>
    <t>Przemysł chemiczny (dział 20 i 21)</t>
  </si>
  <si>
    <t>Produkcja papiernicza oraz działalność wydawnicza i poligraficzna (dział 17 i 18)</t>
  </si>
  <si>
    <t>Inna działalność - sekcji B (górnictwo i wydobywanie) działy: 07, 08, 09.9, z sekcji C (przetwórstwo przemysłowe) działy : 13-16, 22, 23, 25-32 oraz sekcja F (budownictwo) działy: 41-43</t>
  </si>
  <si>
    <t>Instytucje/handel/usługi</t>
  </si>
  <si>
    <t>Tabela 6 . Przemysł metali nieżelaznych (grupy: 24.4, 24.53, 24.54)</t>
  </si>
  <si>
    <t>Tabela 7 . Przemysł chemiczny (dział 20 i 21)</t>
  </si>
  <si>
    <t>Tabela 8 . Przemysł papierniczy i poligraficzny (dział 17 i 18)</t>
  </si>
  <si>
    <t>Tabela 9 .Przemysł spożywczy (dział 10, 11 i 12)</t>
  </si>
  <si>
    <t>odpady komunalne - niebiogeniczne</t>
  </si>
  <si>
    <t>drewno opałowe i odpady pochodzenia drzewnego, biomasa</t>
  </si>
  <si>
    <t>Podaj sprawność instalacji redukcji:</t>
  </si>
  <si>
    <r>
      <t>SO</t>
    </r>
    <r>
      <rPr>
        <vertAlign val="subscript"/>
        <sz val="11"/>
        <color theme="1"/>
        <rFont val="Czcionka tekstu podstawowego"/>
        <charset val="238"/>
      </rPr>
      <t>2</t>
    </r>
  </si>
  <si>
    <r>
      <t>NO</t>
    </r>
    <r>
      <rPr>
        <vertAlign val="subscript"/>
        <sz val="11"/>
        <color theme="1"/>
        <rFont val="Czcionka tekstu podstawowego"/>
        <charset val="238"/>
      </rPr>
      <t>x</t>
    </r>
  </si>
  <si>
    <t>Pyłu</t>
  </si>
  <si>
    <t>Podaj zawartość siarki całkowitej w paliwie (w %)</t>
  </si>
  <si>
    <t>Węgiel kamienny</t>
  </si>
  <si>
    <t>Paliwa ciekłe</t>
  </si>
  <si>
    <t>Drewno (biomasa)</t>
  </si>
  <si>
    <t>Pozostałe</t>
  </si>
  <si>
    <t>Wydajność cieplna od 1,0 do 5,5 MW</t>
  </si>
  <si>
    <t>Gaz ziemny wysokometanowy ( E )</t>
  </si>
  <si>
    <t>Gaz ziemny zaazotowany</t>
  </si>
  <si>
    <t>Wydajność cieplna poniżej 1,0 MW</t>
  </si>
  <si>
    <t>Węzeł</t>
  </si>
  <si>
    <t>Olej</t>
  </si>
  <si>
    <t>Pionowy</t>
  </si>
  <si>
    <t>Poziomy</t>
  </si>
  <si>
    <t>Gaz wysokometanowy</t>
  </si>
  <si>
    <t>Gaz zaazotowany</t>
  </si>
  <si>
    <t>Biomasa</t>
  </si>
  <si>
    <t>brak</t>
  </si>
  <si>
    <t>KOBIZE</t>
  </si>
  <si>
    <t>Dla drewna, zgodnie z wytycznymi przyjęto następujące wskaźniki zanieczyszceń :</t>
  </si>
  <si>
    <t>Q&lt;=1,0 MW</t>
  </si>
  <si>
    <t>od 1,0 do 5,5 MW</t>
  </si>
  <si>
    <t>OA-I</t>
  </si>
  <si>
    <t>OCHRONA POWIETRZA - MODERNIZACJA KOTŁOWNI</t>
  </si>
  <si>
    <t>(nazwa przedsięwzięcia)</t>
  </si>
  <si>
    <t>Wyszczególnienie</t>
  </si>
  <si>
    <t>Przed modernizacją</t>
  </si>
  <si>
    <t>Kocioł (rodzaj, typ)</t>
  </si>
  <si>
    <t>Moc kotłów (kW)</t>
  </si>
  <si>
    <t>Rodzaj rusztu</t>
  </si>
  <si>
    <t>Rodzaj palników (dla gazu)</t>
  </si>
  <si>
    <t>Rodzaj ciągu:</t>
  </si>
  <si>
    <t>Sprawność instalacji odpylającej</t>
  </si>
  <si>
    <t>Wartośc opałowa (WO)**</t>
  </si>
  <si>
    <t xml:space="preserve">Roczne zużycie paliwa (P) </t>
  </si>
  <si>
    <t>Roczna produkcja ciepła (RPC)</t>
  </si>
  <si>
    <t>Wskaźnik emisji (WE)**</t>
  </si>
  <si>
    <t>Przed  modernizacja</t>
  </si>
  <si>
    <r>
      <t>Dwutlenek wegla (CO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                  (RPC x WE)</t>
    </r>
  </si>
  <si>
    <t>Przyjeta do obliczeń tabela wg. KOBIZE:</t>
  </si>
  <si>
    <r>
      <t>Zawartość Siarki całkowitej</t>
    </r>
    <r>
      <rPr>
        <vertAlign val="subscript"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w paliwie (%)</t>
    </r>
  </si>
  <si>
    <t>Zawartość popiołu Ar w paliwie (%)</t>
  </si>
  <si>
    <t>Zawartość części palnych w pyle - k (%)</t>
  </si>
  <si>
    <t>stałe - w Mg/rok</t>
  </si>
  <si>
    <r>
      <t>olej - w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/rok</t>
    </r>
  </si>
  <si>
    <r>
      <t>Dwutlenek siarki (SO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</t>
    </r>
  </si>
  <si>
    <r>
      <t>Dwutlenek azotu (NO</t>
    </r>
    <r>
      <rPr>
        <vertAlign val="subscript"/>
        <sz val="10"/>
        <rFont val="Calibri"/>
        <family val="2"/>
        <charset val="238"/>
        <scheme val="minor"/>
      </rPr>
      <t>x</t>
    </r>
    <r>
      <rPr>
        <sz val="10"/>
        <rFont val="Calibri"/>
        <family val="2"/>
        <charset val="238"/>
        <scheme val="minor"/>
      </rPr>
      <t>)</t>
    </r>
  </si>
  <si>
    <t>………………………………………………………………</t>
  </si>
  <si>
    <t>Podpisy i pieczątki osób reprezentujących</t>
  </si>
  <si>
    <t>Jednostkę przy dokonywaniu czynności prawnych</t>
  </si>
  <si>
    <t>miejscowość</t>
  </si>
  <si>
    <r>
      <t xml:space="preserve">1 </t>
    </r>
    <r>
      <rPr>
        <sz val="9"/>
        <rFont val="Calibri"/>
        <family val="2"/>
        <charset val="238"/>
        <scheme val="minor"/>
      </rPr>
      <t>Wyłącznie na potrzeby statystyczne WFOŚiGW</t>
    </r>
  </si>
  <si>
    <r>
      <t>**</t>
    </r>
    <r>
      <rPr>
        <sz val="9"/>
        <rFont val="Calibri"/>
        <family val="2"/>
        <charset val="238"/>
        <scheme val="minor"/>
      </rPr>
      <t xml:space="preserve"> wg KOBIZE "Wartości opałowe (WO) i wskaźniki emisji CO2 (WE) w roku 2012 do raportowania w ramach Wspólnotowego Systemu Handlu Uprawnieniami do Emisji za rok 2015"</t>
    </r>
  </si>
  <si>
    <r>
      <t>***</t>
    </r>
    <r>
      <rPr>
        <sz val="9"/>
        <rFont val="Calibri"/>
        <family val="2"/>
        <charset val="238"/>
        <scheme val="minor"/>
      </rPr>
      <t xml:space="preserve"> wg "Zestawienia wzorów i wskaźników emisji substancji zanieczyszczających wprowadzanych do powietrza" dostępnego na stronie internetowej WFOŚiGW w Poznaniu www.wfosigw.poznan.pl </t>
    </r>
  </si>
  <si>
    <t>NIE DOTYCZY</t>
  </si>
  <si>
    <r>
      <t>EFEKT RZECZOWY i EKOLOGICZNY</t>
    </r>
    <r>
      <rPr>
        <vertAlign val="superscript"/>
        <sz val="11"/>
        <rFont val="Calibri"/>
        <family val="2"/>
        <charset val="238"/>
        <scheme val="minor"/>
      </rPr>
      <t>[1]</t>
    </r>
  </si>
  <si>
    <t>1. Charakterystyka modernizowanej kotłowni</t>
  </si>
  <si>
    <t>Nazwa przedsiewzięcia</t>
  </si>
  <si>
    <t>Rodzaj, typ kotła</t>
  </si>
  <si>
    <t>Osoba przygotowująca dokument</t>
  </si>
  <si>
    <t>Telefon kontaktowy</t>
  </si>
  <si>
    <t>Miejscowość</t>
  </si>
  <si>
    <t>data sporządzenia</t>
  </si>
  <si>
    <t xml:space="preserve">opracował </t>
  </si>
  <si>
    <t>numer telefonu</t>
  </si>
  <si>
    <r>
      <t>gaz - w mln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/rok</t>
    </r>
  </si>
  <si>
    <t>Moc kotła [kW]</t>
  </si>
  <si>
    <t>Roczne zużycie paliwa:</t>
  </si>
  <si>
    <r>
      <t>3. Obliczenie wielkości emisji SO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NO</t>
    </r>
    <r>
      <rPr>
        <vertAlign val="subscript"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>, CO, PYŁU przed i po modernizacji kotłowni:</t>
    </r>
    <r>
      <rPr>
        <sz val="11"/>
        <rFont val="Calibri"/>
        <family val="2"/>
        <charset val="238"/>
        <scheme val="minor"/>
      </rPr>
      <t>***</t>
    </r>
  </si>
  <si>
    <r>
      <t>2. Obliczenie wielkości emisji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przed i po modernizacji kotłowni:</t>
    </r>
  </si>
  <si>
    <t>Rodzaj paliwa</t>
  </si>
  <si>
    <r>
      <t>3. Obliczenie wielkości emisji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przed i po modernizacji kotłowni:</t>
    </r>
  </si>
  <si>
    <t>Węglowy</t>
  </si>
  <si>
    <t>Koksowy</t>
  </si>
  <si>
    <t>Olejowy</t>
  </si>
  <si>
    <t>Gazowy</t>
  </si>
  <si>
    <t>Na biomasę</t>
  </si>
  <si>
    <t>Rodzaj kotła:</t>
  </si>
  <si>
    <t>Typ kotła:</t>
  </si>
  <si>
    <t>Moc kotłów (kW):</t>
  </si>
  <si>
    <t>Rodzaj paliwa:</t>
  </si>
  <si>
    <t>Rodzaj rusztu:</t>
  </si>
  <si>
    <t>Rodzaj palników (dla gazu):</t>
  </si>
  <si>
    <t>Wydajność cieplna kotła:</t>
  </si>
  <si>
    <t>Data sporządzenia efektu generowana jest automatycznie</t>
  </si>
  <si>
    <t>Roczna produkcja ciepła (RPC) [GJ/rok]</t>
  </si>
  <si>
    <t>Wskaźnik emisji (WE) [kg/GJ]</t>
  </si>
  <si>
    <r>
      <t xml:space="preserve">1 </t>
    </r>
    <r>
      <rPr>
        <sz val="8"/>
        <color theme="0" tint="-0.499984740745262"/>
        <rFont val="Calibri"/>
        <family val="2"/>
        <charset val="238"/>
        <scheme val="minor"/>
      </rPr>
      <t>Wyłącznie na potrzeby statystyczne WFOŚiGW</t>
    </r>
  </si>
  <si>
    <t>Tabela 5 . Produkcja żelaza i stali (grupy  działu 24  z wyjątkiem grup wymienionych w w tabeli 6)</t>
  </si>
  <si>
    <t>Tabela</t>
  </si>
  <si>
    <t>nr wartości opałowej</t>
  </si>
  <si>
    <t>WO</t>
  </si>
  <si>
    <t>WE</t>
  </si>
  <si>
    <t>Gęstość oleju</t>
  </si>
  <si>
    <t>Olej napędowy</t>
  </si>
  <si>
    <r>
      <t>Gęstość oleju opłaowego została przyjeta na poziomie 860 kg/m</t>
    </r>
    <r>
      <rPr>
        <vertAlign val="superscript"/>
        <sz val="18"/>
        <color theme="1"/>
        <rFont val="Czcionka tekstu podstawowego"/>
        <charset val="238"/>
      </rPr>
      <t>3</t>
    </r>
  </si>
  <si>
    <t>Najpierw wypełniamy kolumnę "Przed modernizacją" a następnie "Po modernizacji"</t>
  </si>
  <si>
    <r>
      <t>MJ/m</t>
    </r>
    <r>
      <rPr>
        <vertAlign val="superscript"/>
        <sz val="11"/>
        <color theme="1"/>
        <rFont val="Czcionka tekstu podstawowego"/>
        <charset val="238"/>
      </rPr>
      <t>3</t>
    </r>
  </si>
  <si>
    <t>Q&gt;=5,5 MW</t>
  </si>
  <si>
    <t>Wydajność cieplna powyżej 5,5 MW</t>
  </si>
  <si>
    <t>OA-II</t>
  </si>
  <si>
    <t>OCHRONA POWIETRZA - TERMOMODERNIZACJA</t>
  </si>
  <si>
    <t>(dla obiektów posiadających własną kotłownię)</t>
  </si>
  <si>
    <t>1. Charakterystyka przedsięwzięcia w zakresie przegród:</t>
  </si>
  <si>
    <t>L.p</t>
  </si>
  <si>
    <t>Parametr ilościowy</t>
  </si>
  <si>
    <t>2. Charakterystyka przedsiewziecia w zakresie instalacji:</t>
  </si>
  <si>
    <t>Sposób wykonania usprawnienia</t>
  </si>
  <si>
    <t>Pompy ciepła - moc [kW]</t>
  </si>
  <si>
    <t>Pompy ciepła - wskaźnik COP</t>
  </si>
  <si>
    <t>3. Charakterystyka kotłowni</t>
  </si>
  <si>
    <t>OA-III</t>
  </si>
  <si>
    <t>nazwa przedsięwzięcia</t>
  </si>
  <si>
    <t>1. Charakterystyka obiektu:</t>
  </si>
  <si>
    <t>Przed termomodernizacją</t>
  </si>
  <si>
    <t>Po termomodernizacji</t>
  </si>
  <si>
    <t>Dostawca ciepła:</t>
  </si>
  <si>
    <t>Sprawność cieplna systemu grzewczego [%]</t>
  </si>
  <si>
    <r>
      <t>Kubatura ogrzewana [m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</si>
  <si>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Przyjęta do obliczeń tabela wg. KOBIZE:</t>
  </si>
  <si>
    <t>Roczna zużycie ciepła (RPC) [GJ/rok]</t>
  </si>
  <si>
    <r>
      <t>Dwutlenek wegla (CO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  (RPC x WE)</t>
    </r>
  </si>
  <si>
    <r>
      <t xml:space="preserve">[1] </t>
    </r>
    <r>
      <rPr>
        <sz val="9"/>
        <color theme="0" tint="-0.34998626667073579"/>
        <rFont val="Calibri"/>
        <family val="2"/>
        <charset val="238"/>
        <scheme val="minor"/>
      </rPr>
      <t>Wyłącznie na potrzeby statystyczne WFOŚiGW</t>
    </r>
  </si>
  <si>
    <t>OA-IV</t>
  </si>
  <si>
    <r>
      <t xml:space="preserve">OCHRONA POWIETRZA - ODNAWIALNE ŹRODŁA ENERGII </t>
    </r>
    <r>
      <rPr>
        <sz val="8"/>
        <rFont val="Calibri"/>
        <family val="2"/>
        <charset val="238"/>
        <scheme val="minor"/>
      </rPr>
      <t>ORAZ</t>
    </r>
    <r>
      <rPr>
        <sz val="10"/>
        <rFont val="Calibri"/>
        <family val="2"/>
        <charset val="238"/>
        <scheme val="minor"/>
      </rPr>
      <t xml:space="preserve"> OSZCZĘDNOŚĆ ENERGII ELEKTRYCZNEJ </t>
    </r>
    <r>
      <rPr>
        <sz val="8"/>
        <rFont val="Calibri"/>
        <family val="2"/>
        <charset val="238"/>
        <scheme val="minor"/>
      </rPr>
      <t>LUB</t>
    </r>
    <r>
      <rPr>
        <sz val="10"/>
        <rFont val="Calibri"/>
        <family val="2"/>
        <charset val="238"/>
        <scheme val="minor"/>
      </rPr>
      <t xml:space="preserve"> CIEPLNEJ</t>
    </r>
  </si>
  <si>
    <t>2. Dane techniczne:</t>
  </si>
  <si>
    <t>Moc znamionowa</t>
  </si>
  <si>
    <t>kW</t>
  </si>
  <si>
    <t>Podstawowe dane techniczne urządzenia:</t>
  </si>
  <si>
    <t>Kolektory słoneczne</t>
  </si>
  <si>
    <t>Panele fotowoltaiczne</t>
  </si>
  <si>
    <t>Pompy ciepła</t>
  </si>
  <si>
    <t>COP</t>
  </si>
  <si>
    <t>Rekuperator</t>
  </si>
  <si>
    <t>Sprawność odzysku (%)</t>
  </si>
  <si>
    <t>Inne:</t>
  </si>
  <si>
    <t>Produkcja energii cieplnej z OZE [GJ/rok]</t>
  </si>
  <si>
    <t>Produkcja energii elektrycznej z OZE [MWh/rok]</t>
  </si>
  <si>
    <t>Zużycie energii elektrycznej do wytworzenia energii cieplnej i/lub energii elektrycznej z OZE [MWh/rok]</t>
  </si>
  <si>
    <r>
      <t xml:space="preserve">4. Efekt ekologiczny - oszczędność energii elektrycznej: </t>
    </r>
    <r>
      <rPr>
        <sz val="8"/>
        <rFont val="Calibri"/>
        <family val="2"/>
        <charset val="238"/>
        <scheme val="minor"/>
      </rPr>
      <t>(m. in. wymiana oświetlenia)</t>
    </r>
  </si>
  <si>
    <t>Roczne zużycie energii przed modernizacją [MWh/rok]</t>
  </si>
  <si>
    <t>Roczne zużycie energii po modernizacji [MWh/rok]</t>
  </si>
  <si>
    <t>Oszczędność w zużyciu energii [MWh/rok]</t>
  </si>
  <si>
    <r>
      <t xml:space="preserve">5. Efekt ekologiczny: </t>
    </r>
    <r>
      <rPr>
        <sz val="8"/>
        <rFont val="Calibri"/>
        <family val="2"/>
        <charset val="238"/>
        <scheme val="minor"/>
      </rPr>
      <t>(dla istniejących budynków zasilanych z sieci cieplnych)</t>
    </r>
  </si>
  <si>
    <t>Roczne zużycie ciepła przed instalacją OZE [GJ/rok]</t>
  </si>
  <si>
    <t>Roczne zużycie energii elektrycznej do wyprodukowania energii OZE [MWh/rok]</t>
  </si>
  <si>
    <t>Produkcja energii cieplnej lub elektrycznej w OZE</t>
  </si>
  <si>
    <t>Zużycie ciepła po instalacji OZE</t>
  </si>
  <si>
    <r>
      <t>Dwutlenek wegla (CO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 (RPC x WE)</t>
    </r>
  </si>
  <si>
    <t>Tabela 10. Produkcja wyrobów z pozostałaych mineralnych surowców niemetalicznych (dział 23)</t>
  </si>
  <si>
    <t>Produkcja wyrobów z pozostałaych mineralnych surowców niemetalicznych (dział 23)</t>
  </si>
  <si>
    <t>Tabela 15</t>
  </si>
  <si>
    <t>Tabela 11 . Inne przemysły</t>
  </si>
  <si>
    <t>Tabela 12 . Instytucje/handel/usługi</t>
  </si>
  <si>
    <t>Tabela 13 . Rolnictwo, leśnictwo i rybołówstwo</t>
  </si>
  <si>
    <t>GJ/rok</t>
  </si>
  <si>
    <t>Wskaźnik emisyjności CO2 dla energii elektrycznej</t>
  </si>
  <si>
    <t>MgCO2/MWh</t>
  </si>
  <si>
    <t>MWh/rok</t>
  </si>
  <si>
    <t>Wskaźnik emisyjności CO2 dla energii cieplnej</t>
  </si>
  <si>
    <t>TAK</t>
  </si>
  <si>
    <t>NIE</t>
  </si>
  <si>
    <t>Wydajność cieplna poniżej 5,0 MW</t>
  </si>
  <si>
    <t>Q&lt;=5,0 MW</t>
  </si>
  <si>
    <t>planowane zmniejszenie zużycia energii wg audytu</t>
  </si>
  <si>
    <t>2. Charakterystyka przedsięwzięcia w zakresie przegród:</t>
  </si>
  <si>
    <t>3. Charakterystyka przedsięwzięcia w zakresie instalacji:</t>
  </si>
  <si>
    <t>Sprawność instalacji odpylającej n %</t>
  </si>
  <si>
    <t>Należy wybrać arkusz odpowiadający zakresowi realizowanego przedsięwzięcia, tj. np. Efekt OA-II.</t>
  </si>
  <si>
    <t>Jeżeli wszystkie pola są poprawnie wypełnione, tj. nie posiadają znaku "#N/D!" lub "#ARG!" można wydrukować wybrany arkusz</t>
  </si>
  <si>
    <t>Efekty ekologiczne:</t>
  </si>
  <si>
    <t>OA-IV – odnawialne źródła energii i oszczędność energii  – druk dotyczy montażu urządzeń związanych z energetyką odnawialną oraz oszczędności energii elektrycznej lub cieplnej;</t>
  </si>
  <si>
    <t>OA-I – modernizacja kotłowni  – druk dotyczy modernizacji kotłowni indywidualnych, zbiorczych (osiedlowych). W przypadku wykonywania modernizacji kotłowni i montażu OZE w jednym przedsięwzięciu, zakres OZE podajemy na druku OA-IV;</t>
  </si>
  <si>
    <t>OA-II – termomodernizacja  – druk dotyczy termomodernizacji budynków które zasilane są z kotłowni indywidualnych. Dotyczy to również zespołu budynków które zasilane są z jednej kotłowni, zbiorczej (osiedlowych). W przypadku wykonywania termomodernizacji budynku posiadającego własną kotłownie i montażu OZE w jednym przedsięwzięciu, zakres OZE podajemy na druku OA-IV;</t>
  </si>
  <si>
    <t>OA-III – termomodernizacja  - druk dotyczy termomodernizacji budynków które nie posiadają własnej kotłowni a zasilane są poprzez siec cieplną i rozliczenie następuje na podstawie faktur za dostawę energii cieplnej, np. w GJ;</t>
  </si>
  <si>
    <t>Dla gazu wysokometanowego i zaazotowanego, S przyjmujemy równe 0 (zero)</t>
  </si>
  <si>
    <r>
      <t>Zawartość Siarki całkowitej</t>
    </r>
    <r>
      <rPr>
        <vertAlign val="subscript"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w paliwie - S (%)</t>
    </r>
  </si>
  <si>
    <t>Zawartość popiołu w paliwie - A (%)</t>
  </si>
  <si>
    <t>Moc zamówiona dla c.w.u. [kW]</t>
  </si>
  <si>
    <r>
      <t>5. Obliczenie wielkości emisji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przed i po modernizacji kotłowni:</t>
    </r>
  </si>
  <si>
    <r>
      <t xml:space="preserve">3. Efekt ekologiczny: </t>
    </r>
    <r>
      <rPr>
        <sz val="8"/>
        <rFont val="Calibri"/>
        <family val="2"/>
        <charset val="238"/>
        <scheme val="minor"/>
      </rPr>
      <t>(dla pomp ciepła dla nowobudowanych budynków, wiatraków, ogniw fotowoltaicznych, elektrowni wodnych, oświetlenia hybrydowego, układów kogeneracyjnych)</t>
    </r>
  </si>
  <si>
    <t>Pompa ciepła</t>
  </si>
  <si>
    <t>Brak oliczeń KOBIZE</t>
  </si>
  <si>
    <t>Moc zamówiona [kW]</t>
  </si>
  <si>
    <t>Tabela 16. Wartości opałowe i wskaźniki emisji dla pozostałych paliw</t>
  </si>
  <si>
    <t>Tabela 17. Wskaźniki emisji dla węgla kamiennego i brunatnego, obliczone w oparciu o średnie krajowe WO dla tych paliw</t>
  </si>
  <si>
    <t>Tabela 16</t>
  </si>
  <si>
    <t>Tabela 17</t>
  </si>
  <si>
    <t>Tabela 14. Wartości opałowe i wskaźniki emisji dla gazu ziemnego spalanego w sektorach wymienionych w tabelach 1-11</t>
  </si>
  <si>
    <t>Tabela 15. Wartości opałowe i wskaźniki emisji dla gazu ziemnego spalanego w sektorach wymienionych w tabelach 12-13</t>
  </si>
  <si>
    <r>
      <t>2. Obliczenie wielkości emisji SO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NO</t>
    </r>
    <r>
      <rPr>
        <vertAlign val="subscript"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>, CO, PYŁU przed i po modernizacji kotłowni:**</t>
    </r>
  </si>
  <si>
    <r>
      <t>**</t>
    </r>
    <r>
      <rPr>
        <sz val="8"/>
        <color theme="0" tint="-0.499984740745262"/>
        <rFont val="Calibri"/>
        <family val="2"/>
        <charset val="238"/>
        <scheme val="minor"/>
      </rPr>
      <t xml:space="preserve"> wg "Zestawienia wzorów i wskaźników emisji substancji zanieczyszczających wprowadzanych do powietrza" dostępnego na stronie internetowej WFOŚiGW w Poznaniu www.wfosigw.poznan.pl </t>
    </r>
  </si>
  <si>
    <t>Wartośc opałowa (WO)*</t>
  </si>
  <si>
    <r>
      <t>4. Obliczenie wielkości emisji SO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NO</t>
    </r>
    <r>
      <rPr>
        <vertAlign val="subscript"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>, CO, PYŁU przed i po modernizacji kotłowni:**</t>
    </r>
  </si>
  <si>
    <r>
      <t>Kolektory słoneczne [m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/szt.]</t>
    </r>
  </si>
  <si>
    <r>
      <t>4. Obliczenie wielkości emisji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przed i po termomodernizacji:*</t>
    </r>
  </si>
  <si>
    <r>
      <t xml:space="preserve">1. Rodzaj urządzenia do produkcji energii: </t>
    </r>
    <r>
      <rPr>
        <sz val="8"/>
        <rFont val="Calibri"/>
        <family val="2"/>
        <charset val="238"/>
        <scheme val="minor"/>
      </rPr>
      <t>(wymienić)</t>
    </r>
  </si>
  <si>
    <r>
      <t>Redukcja lub uniknięcie emisji 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[Mg/rok]</t>
    </r>
  </si>
  <si>
    <t xml:space="preserve">Ściany zewnętrzne </t>
  </si>
  <si>
    <t xml:space="preserve">Dachy, stropodachy </t>
  </si>
  <si>
    <t>Stolarka okienna</t>
  </si>
  <si>
    <r>
      <t xml:space="preserve">Współczynnik przenikania [U]
</t>
    </r>
    <r>
      <rPr>
        <sz val="8"/>
        <rFont val="Calibri"/>
        <family val="2"/>
        <charset val="238"/>
        <scheme val="minor"/>
      </rPr>
      <t>[W/m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>K]</t>
    </r>
  </si>
  <si>
    <t>Zakres robót termomodernizacyjnych - rodzaj przegrody</t>
  </si>
  <si>
    <t>Zakres robót termomodernizacyjnych - rodzaj instalacji</t>
  </si>
  <si>
    <t xml:space="preserve">Stolarka drzwiowa </t>
  </si>
  <si>
    <t>olej opałowy</t>
  </si>
  <si>
    <r>
      <t>*</t>
    </r>
    <r>
      <rPr>
        <sz val="8"/>
        <color theme="0" tint="-0.499984740745262"/>
        <rFont val="Calibri"/>
        <family val="2"/>
        <charset val="238"/>
        <scheme val="minor"/>
      </rPr>
      <t xml:space="preserve"> wg KOBIZE "Wartości opałowe (WO) i wskaźniki emisji CO2 (WE) w roku 2018 do raportowania w ramach Systemu Handlu Uprawnieniami do Emisji za rok 2021"</t>
    </r>
  </si>
  <si>
    <r>
      <t>*</t>
    </r>
    <r>
      <rPr>
        <sz val="9"/>
        <color theme="0" tint="-0.34998626667073579"/>
        <rFont val="Calibri"/>
        <family val="2"/>
        <charset val="238"/>
        <scheme val="minor"/>
      </rPr>
      <t xml:space="preserve"> wg KOBIZE "Wartości opałowe (WO) i wskaźniki emisji CO2 (WE) w roku 2018 do raportowania w ramach Systemu Handlu Uprawnieniami do Emisji za rok 2021"</t>
    </r>
  </si>
  <si>
    <t>Roczne zapotrzebowanie na ciepło [GJ/rok] wg audytu</t>
  </si>
  <si>
    <t>[%]</t>
  </si>
  <si>
    <t>szt.</t>
  </si>
  <si>
    <r>
      <t>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>/szt.</t>
    </r>
  </si>
  <si>
    <t>Wentylacja</t>
  </si>
  <si>
    <t>Ciepła woda uzytkowa zużycie</t>
  </si>
  <si>
    <t>Centralne ogrzewanie - sprawność systemu</t>
  </si>
  <si>
    <t>Centralne ogrzewanie</t>
  </si>
  <si>
    <t>Energia elektryczna</t>
  </si>
  <si>
    <t>*WE = 0 wg wytycznych KOBIZE 2021</t>
  </si>
  <si>
    <t>-</t>
  </si>
  <si>
    <t>(dla obiektów podłączonych do sieci ciepłowniczej)</t>
  </si>
  <si>
    <r>
      <t>Suma [m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]</t>
    </r>
  </si>
  <si>
    <r>
      <t>Stolarka okienna 
Suma [m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] [szt.]</t>
    </r>
  </si>
  <si>
    <r>
      <t>Stolarka drzwiowa
Suma [m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] [szt.]</t>
    </r>
  </si>
  <si>
    <t>Suma [m2] [szt.]</t>
  </si>
  <si>
    <t>[szt.]</t>
  </si>
  <si>
    <r>
      <t>[m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]</t>
    </r>
  </si>
  <si>
    <t>Minimalny uzysk energii [kWh/(kWp x rok)]</t>
  </si>
  <si>
    <t>Czy minimalny uzysk spełnia wymagania techniczne?</t>
  </si>
  <si>
    <r>
      <t>6. Obliczenie wielkości emisji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przed i po modernizacji:*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</si>
</sst>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"/>
    <numFmt numFmtId="166" formatCode="0.00000"/>
    <numFmt numFmtId="167" formatCode="#,##0.0"/>
    <numFmt numFmtId="168" formatCode="[$-415]d\ mmmm\ yyyy;@"/>
    <numFmt numFmtId="169" formatCode="#,##0.000000"/>
    <numFmt numFmtId="170" formatCode="yyyy/mm/dd;@"/>
    <numFmt numFmtId="171" formatCode="#,##0.000"/>
  </numFmts>
  <fonts count="6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vertAlign val="subscript"/>
      <sz val="10"/>
      <name val="Arial CE"/>
      <charset val="238"/>
    </font>
    <font>
      <b/>
      <sz val="11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b/>
      <sz val="14"/>
      <name val="Czcionka tekstu podstawowego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sz val="18"/>
      <name val="Czcionka tekstu podstawowego"/>
      <charset val="238"/>
    </font>
    <font>
      <b/>
      <sz val="16"/>
      <name val="Czcionka tekstu podstawowego"/>
      <charset val="238"/>
    </font>
    <font>
      <b/>
      <sz val="13"/>
      <name val="Czcionka tekstu podstawowego"/>
      <charset val="238"/>
    </font>
    <font>
      <b/>
      <sz val="13"/>
      <color theme="1"/>
      <name val="Czcionka tekstu podstawowego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vertAlign val="subscript"/>
      <sz val="10"/>
      <name val="Arial CE"/>
      <family val="2"/>
      <charset val="238"/>
    </font>
    <font>
      <vertAlign val="subscript"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color theme="1"/>
      <name val="Czcionka tekstu podstawowego"/>
      <family val="2"/>
      <charset val="238"/>
    </font>
    <font>
      <b/>
      <sz val="10"/>
      <name val="Czcionka tekstu podstawowego"/>
      <charset val="238"/>
    </font>
    <font>
      <vertAlign val="subscript"/>
      <sz val="11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8"/>
      <color theme="1"/>
      <name val="Czcionka tekstu podstawowego"/>
      <family val="2"/>
      <charset val="238"/>
    </font>
    <font>
      <vertAlign val="superscript"/>
      <sz val="8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8"/>
      <color theme="0" tint="-0.499984740745262"/>
      <name val="Czcionka tekstu podstawowego"/>
      <family val="2"/>
      <charset val="238"/>
    </font>
    <font>
      <sz val="10"/>
      <name val="Czcionka tekstu podstawowego"/>
      <charset val="238"/>
    </font>
    <font>
      <vertAlign val="superscript"/>
      <sz val="18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9"/>
      <color theme="0" tint="-0.34998626667073579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603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0" xfId="1" applyBorder="1" applyAlignment="1" applyProtection="1">
      <alignment horizontal="center" vertical="center" wrapText="1"/>
      <protection hidden="1"/>
    </xf>
    <xf numFmtId="0" fontId="5" fillId="0" borderId="0" xfId="2" applyBorder="1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0" fontId="6" fillId="0" borderId="0" xfId="2" applyFont="1" applyFill="1" applyProtection="1"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0" fontId="3" fillId="0" borderId="0" xfId="3" applyProtection="1">
      <protection hidden="1"/>
    </xf>
    <xf numFmtId="0" fontId="5" fillId="0" borderId="0" xfId="2" applyFill="1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right"/>
      <protection hidden="1"/>
    </xf>
    <xf numFmtId="0" fontId="0" fillId="0" borderId="0" xfId="0" quotePrefix="1" applyProtection="1">
      <protection hidden="1"/>
    </xf>
    <xf numFmtId="0" fontId="10" fillId="0" borderId="1" xfId="0" applyFont="1" applyBorder="1" applyProtection="1">
      <protection hidden="1"/>
    </xf>
    <xf numFmtId="164" fontId="10" fillId="0" borderId="1" xfId="0" applyNumberFormat="1" applyFont="1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13" fillId="0" borderId="0" xfId="0" applyFont="1" applyProtection="1">
      <protection hidden="1"/>
    </xf>
    <xf numFmtId="0" fontId="14" fillId="0" borderId="1" xfId="5" applyFont="1" applyBorder="1" applyAlignment="1" applyProtection="1">
      <protection hidden="1"/>
    </xf>
    <xf numFmtId="0" fontId="14" fillId="0" borderId="1" xfId="5" applyFont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5" fillId="0" borderId="1" xfId="5" applyFont="1" applyBorder="1" applyAlignment="1" applyProtection="1">
      <protection hidden="1"/>
    </xf>
    <xf numFmtId="0" fontId="13" fillId="0" borderId="1" xfId="0" applyFont="1" applyBorder="1" applyProtection="1">
      <protection hidden="1"/>
    </xf>
    <xf numFmtId="0" fontId="5" fillId="0" borderId="1" xfId="5" applyFont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 indent="23"/>
      <protection hidden="1"/>
    </xf>
    <xf numFmtId="164" fontId="13" fillId="0" borderId="0" xfId="0" applyNumberFormat="1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23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5" fillId="0" borderId="10" xfId="2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164" fontId="0" fillId="0" borderId="10" xfId="0" applyNumberFormat="1" applyBorder="1" applyProtection="1">
      <protection hidden="1"/>
    </xf>
    <xf numFmtId="0" fontId="5" fillId="0" borderId="1" xfId="2" applyBorder="1" applyAlignment="1" applyProtection="1">
      <alignment horizontal="center"/>
      <protection hidden="1"/>
    </xf>
    <xf numFmtId="164" fontId="0" fillId="0" borderId="1" xfId="0" applyNumberFormat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5" fillId="0" borderId="16" xfId="2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164" fontId="0" fillId="0" borderId="16" xfId="0" applyNumberFormat="1" applyBorder="1" applyProtection="1">
      <protection hidden="1"/>
    </xf>
    <xf numFmtId="0" fontId="0" fillId="0" borderId="0" xfId="0" applyBorder="1" applyAlignment="1" applyProtection="1">
      <protection hidden="1"/>
    </xf>
    <xf numFmtId="0" fontId="23" fillId="0" borderId="0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center" vertical="top"/>
      <protection hidden="1"/>
    </xf>
    <xf numFmtId="0" fontId="23" fillId="0" borderId="0" xfId="0" applyFont="1" applyProtection="1">
      <protection hidden="1"/>
    </xf>
    <xf numFmtId="0" fontId="23" fillId="0" borderId="2" xfId="0" applyFont="1" applyBorder="1" applyAlignment="1" applyProtection="1">
      <protection hidden="1"/>
    </xf>
    <xf numFmtId="0" fontId="0" fillId="0" borderId="4" xfId="0" applyBorder="1" applyProtection="1">
      <protection hidden="1"/>
    </xf>
    <xf numFmtId="0" fontId="23" fillId="0" borderId="2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/>
      <protection hidden="1"/>
    </xf>
    <xf numFmtId="2" fontId="22" fillId="0" borderId="9" xfId="0" applyNumberFormat="1" applyFont="1" applyBorder="1" applyAlignment="1" applyProtection="1">
      <alignment horizontal="center"/>
      <protection hidden="1"/>
    </xf>
    <xf numFmtId="2" fontId="22" fillId="0" borderId="5" xfId="0" applyNumberFormat="1" applyFont="1" applyBorder="1" applyAlignment="1" applyProtection="1">
      <alignment horizontal="center"/>
      <protection hidden="1"/>
    </xf>
    <xf numFmtId="2" fontId="22" fillId="0" borderId="11" xfId="0" applyNumberFormat="1" applyFont="1" applyBorder="1" applyAlignment="1" applyProtection="1">
      <alignment horizontal="center"/>
      <protection hidden="1"/>
    </xf>
    <xf numFmtId="2" fontId="22" fillId="0" borderId="10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23" fillId="0" borderId="0" xfId="0" applyFont="1" applyAlignment="1" applyProtection="1">
      <protection hidden="1"/>
    </xf>
    <xf numFmtId="0" fontId="26" fillId="0" borderId="0" xfId="0" applyFont="1" applyBorder="1" applyAlignment="1" applyProtection="1">
      <alignment horizontal="left"/>
      <protection hidden="1"/>
    </xf>
    <xf numFmtId="0" fontId="26" fillId="0" borderId="0" xfId="0" applyFont="1" applyBorder="1" applyAlignment="1" applyProtection="1">
      <protection hidden="1"/>
    </xf>
    <xf numFmtId="0" fontId="0" fillId="0" borderId="0" xfId="0" applyFont="1" applyBorder="1" applyAlignment="1" applyProtection="1">
      <protection hidden="1"/>
    </xf>
    <xf numFmtId="0" fontId="27" fillId="0" borderId="0" xfId="0" applyFont="1" applyBorder="1" applyAlignment="1" applyProtection="1">
      <alignment horizontal="left"/>
      <protection hidden="1"/>
    </xf>
    <xf numFmtId="2" fontId="23" fillId="0" borderId="0" xfId="0" applyNumberFormat="1" applyFont="1" applyBorder="1" applyAlignment="1" applyProtection="1">
      <alignment horizontal="center"/>
      <protection hidden="1"/>
    </xf>
    <xf numFmtId="165" fontId="23" fillId="0" borderId="0" xfId="0" applyNumberFormat="1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10" fillId="0" borderId="3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12" xfId="0" applyBorder="1" applyProtection="1">
      <protection hidden="1"/>
    </xf>
    <xf numFmtId="166" fontId="13" fillId="0" borderId="0" xfId="0" applyNumberFormat="1" applyFont="1" applyAlignment="1" applyProtection="1">
      <alignment horizontal="right"/>
      <protection hidden="1"/>
    </xf>
    <xf numFmtId="2" fontId="10" fillId="0" borderId="1" xfId="0" applyNumberFormat="1" applyFont="1" applyBorder="1" applyAlignment="1" applyProtection="1">
      <alignment horizontal="right"/>
      <protection hidden="1"/>
    </xf>
    <xf numFmtId="0" fontId="13" fillId="0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0" fillId="0" borderId="0" xfId="0" applyAlignment="1" applyProtection="1">
      <alignment horizontal="left" vertical="center" wrapText="1" indent="3"/>
      <protection hidden="1"/>
    </xf>
    <xf numFmtId="0" fontId="4" fillId="0" borderId="29" xfId="1" applyBorder="1" applyAlignment="1" applyProtection="1">
      <alignment horizontal="center" vertical="center" wrapText="1"/>
      <protection hidden="1"/>
    </xf>
    <xf numFmtId="0" fontId="5" fillId="0" borderId="30" xfId="2" applyBorder="1" applyAlignment="1" applyProtection="1">
      <alignment horizontal="center"/>
      <protection hidden="1"/>
    </xf>
    <xf numFmtId="0" fontId="0" fillId="0" borderId="30" xfId="0" applyBorder="1" applyProtection="1">
      <protection hidden="1"/>
    </xf>
    <xf numFmtId="0" fontId="5" fillId="0" borderId="1" xfId="2" applyFont="1" applyBorder="1" applyAlignment="1" applyProtection="1">
      <alignment horizontal="center" vertical="center"/>
      <protection hidden="1"/>
    </xf>
    <xf numFmtId="0" fontId="5" fillId="0" borderId="30" xfId="2" applyFont="1" applyBorder="1" applyAlignment="1" applyProtection="1">
      <alignment horizontal="center" vertical="center"/>
      <protection hidden="1"/>
    </xf>
    <xf numFmtId="0" fontId="5" fillId="0" borderId="1" xfId="2" applyFont="1" applyFill="1" applyBorder="1" applyAlignment="1" applyProtection="1">
      <alignment horizontal="center" vertical="center"/>
      <protection hidden="1"/>
    </xf>
    <xf numFmtId="0" fontId="2" fillId="0" borderId="0" xfId="8"/>
    <xf numFmtId="0" fontId="23" fillId="0" borderId="0" xfId="5" applyFont="1"/>
    <xf numFmtId="0" fontId="34" fillId="0" borderId="0" xfId="5" applyFont="1"/>
    <xf numFmtId="0" fontId="34" fillId="0" borderId="2" xfId="5" applyFont="1" applyBorder="1"/>
    <xf numFmtId="0" fontId="34" fillId="0" borderId="3" xfId="5" applyFont="1" applyBorder="1"/>
    <xf numFmtId="0" fontId="34" fillId="0" borderId="4" xfId="5" applyFont="1" applyBorder="1"/>
    <xf numFmtId="0" fontId="34" fillId="0" borderId="11" xfId="5" applyFont="1" applyBorder="1"/>
    <xf numFmtId="0" fontId="34" fillId="0" borderId="0" xfId="5" applyFont="1" applyBorder="1"/>
    <xf numFmtId="0" fontId="36" fillId="0" borderId="0" xfId="5" applyFont="1"/>
    <xf numFmtId="0" fontId="34" fillId="0" borderId="25" xfId="5" applyFont="1" applyBorder="1"/>
    <xf numFmtId="0" fontId="32" fillId="0" borderId="25" xfId="5" applyFont="1" applyBorder="1"/>
    <xf numFmtId="0" fontId="32" fillId="0" borderId="0" xfId="5" applyFont="1"/>
    <xf numFmtId="0" fontId="33" fillId="0" borderId="0" xfId="5" applyFont="1"/>
    <xf numFmtId="0" fontId="34" fillId="0" borderId="0" xfId="5" applyFont="1" applyBorder="1" applyAlignment="1"/>
    <xf numFmtId="0" fontId="34" fillId="0" borderId="1" xfId="5" applyFont="1" applyBorder="1" applyAlignment="1">
      <alignment horizontal="center"/>
    </xf>
    <xf numFmtId="0" fontId="34" fillId="0" borderId="1" xfId="5" applyFont="1" applyBorder="1" applyAlignment="1">
      <alignment horizontal="center" vertical="center"/>
    </xf>
    <xf numFmtId="0" fontId="39" fillId="0" borderId="1" xfId="8" applyFont="1" applyBorder="1" applyAlignment="1">
      <alignment horizontal="center"/>
    </xf>
    <xf numFmtId="0" fontId="39" fillId="0" borderId="0" xfId="8" applyFont="1" applyAlignment="1"/>
    <xf numFmtId="0" fontId="39" fillId="0" borderId="0" xfId="8" applyFont="1"/>
    <xf numFmtId="0" fontId="39" fillId="0" borderId="1" xfId="0" applyFont="1" applyBorder="1" applyAlignment="1">
      <alignment horizontal="center" vertical="center"/>
    </xf>
    <xf numFmtId="2" fontId="34" fillId="0" borderId="2" xfId="5" applyNumberFormat="1" applyFont="1" applyBorder="1" applyAlignment="1"/>
    <xf numFmtId="0" fontId="34" fillId="0" borderId="3" xfId="5" applyFont="1" applyBorder="1" applyAlignment="1"/>
    <xf numFmtId="4" fontId="34" fillId="0" borderId="2" xfId="5" applyNumberFormat="1" applyFont="1" applyBorder="1" applyAlignment="1"/>
    <xf numFmtId="0" fontId="34" fillId="0" borderId="2" xfId="5" applyFont="1" applyBorder="1" applyAlignment="1"/>
    <xf numFmtId="0" fontId="10" fillId="0" borderId="0" xfId="5" applyFont="1"/>
    <xf numFmtId="0" fontId="10" fillId="0" borderId="0" xfId="5" applyFont="1" applyBorder="1"/>
    <xf numFmtId="167" fontId="40" fillId="0" borderId="1" xfId="5" applyNumberFormat="1" applyFont="1" applyBorder="1" applyAlignment="1">
      <alignment horizontal="center" vertical="center"/>
    </xf>
    <xf numFmtId="167" fontId="40" fillId="0" borderId="1" xfId="5" applyNumberFormat="1" applyFont="1" applyBorder="1" applyAlignment="1"/>
    <xf numFmtId="0" fontId="12" fillId="0" borderId="5" xfId="0" applyFont="1" applyBorder="1" applyAlignment="1" applyProtection="1">
      <alignment horizontal="center" vertical="center" wrapText="1"/>
      <protection hidden="1"/>
    </xf>
    <xf numFmtId="0" fontId="38" fillId="0" borderId="0" xfId="8" applyFont="1" applyBorder="1" applyAlignment="1">
      <alignment vertical="top"/>
    </xf>
    <xf numFmtId="0" fontId="31" fillId="0" borderId="0" xfId="8" applyFont="1" applyBorder="1" applyAlignment="1"/>
    <xf numFmtId="0" fontId="38" fillId="0" borderId="0" xfId="8" applyFont="1" applyAlignment="1">
      <alignment horizontal="center" vertical="top"/>
    </xf>
    <xf numFmtId="168" fontId="31" fillId="0" borderId="0" xfId="8" applyNumberFormat="1" applyFont="1" applyBorder="1" applyAlignment="1">
      <alignment horizontal="center"/>
    </xf>
    <xf numFmtId="0" fontId="5" fillId="0" borderId="32" xfId="2" applyBorder="1" applyAlignment="1" applyProtection="1">
      <alignment horizontal="center"/>
      <protection hidden="1"/>
    </xf>
    <xf numFmtId="0" fontId="0" fillId="0" borderId="31" xfId="0" applyBorder="1" applyProtection="1">
      <protection hidden="1"/>
    </xf>
    <xf numFmtId="0" fontId="5" fillId="0" borderId="31" xfId="2" applyBorder="1" applyAlignment="1" applyProtection="1">
      <alignment horizontal="center"/>
      <protection hidden="1"/>
    </xf>
    <xf numFmtId="0" fontId="5" fillId="0" borderId="33" xfId="2" applyBorder="1" applyAlignment="1" applyProtection="1">
      <alignment horizontal="center"/>
      <protection hidden="1"/>
    </xf>
    <xf numFmtId="0" fontId="0" fillId="0" borderId="35" xfId="0" applyBorder="1" applyProtection="1">
      <protection hidden="1"/>
    </xf>
    <xf numFmtId="0" fontId="5" fillId="0" borderId="35" xfId="2" applyBorder="1" applyAlignment="1" applyProtection="1">
      <alignment horizontal="center"/>
      <protection hidden="1"/>
    </xf>
    <xf numFmtId="0" fontId="5" fillId="0" borderId="36" xfId="2" applyBorder="1" applyAlignment="1" applyProtection="1">
      <alignment horizontal="center"/>
      <protection hidden="1"/>
    </xf>
    <xf numFmtId="0" fontId="0" fillId="0" borderId="36" xfId="0" applyBorder="1" applyProtection="1">
      <protection hidden="1"/>
    </xf>
    <xf numFmtId="167" fontId="34" fillId="0" borderId="1" xfId="5" applyNumberFormat="1" applyFont="1" applyBorder="1" applyAlignment="1"/>
    <xf numFmtId="167" fontId="34" fillId="0" borderId="1" xfId="5" applyNumberFormat="1" applyFont="1" applyBorder="1" applyAlignment="1">
      <alignment horizontal="center" vertical="center"/>
    </xf>
    <xf numFmtId="165" fontId="34" fillId="0" borderId="1" xfId="5" applyNumberFormat="1" applyFont="1" applyBorder="1" applyAlignment="1"/>
    <xf numFmtId="0" fontId="41" fillId="0" borderId="0" xfId="5" applyFont="1" applyAlignment="1">
      <alignment wrapText="1"/>
    </xf>
    <xf numFmtId="0" fontId="32" fillId="0" borderId="0" xfId="5" applyFont="1" applyAlignment="1">
      <alignment wrapText="1"/>
    </xf>
    <xf numFmtId="0" fontId="0" fillId="0" borderId="0" xfId="0" applyFill="1" applyProtection="1">
      <protection hidden="1"/>
    </xf>
    <xf numFmtId="164" fontId="10" fillId="0" borderId="0" xfId="0" applyNumberFormat="1" applyFont="1" applyBorder="1" applyAlignment="1" applyProtection="1">
      <alignment horizontal="right"/>
      <protection hidden="1"/>
    </xf>
    <xf numFmtId="10" fontId="10" fillId="0" borderId="0" xfId="4" applyNumberFormat="1" applyFont="1" applyBorder="1" applyAlignment="1" applyProtection="1">
      <alignment horizontal="right"/>
      <protection hidden="1"/>
    </xf>
    <xf numFmtId="0" fontId="13" fillId="0" borderId="0" xfId="0" applyFont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2" fontId="13" fillId="0" borderId="0" xfId="0" applyNumberFormat="1" applyFont="1" applyFill="1" applyBorder="1" applyProtection="1">
      <protection hidden="1"/>
    </xf>
    <xf numFmtId="2" fontId="16" fillId="0" borderId="0" xfId="0" applyNumberFormat="1" applyFont="1" applyFill="1" applyBorder="1" applyProtection="1">
      <protection hidden="1"/>
    </xf>
    <xf numFmtId="0" fontId="20" fillId="0" borderId="0" xfId="0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19" fillId="0" borderId="0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 applyProtection="1">
      <alignment vertical="center" wrapText="1"/>
      <protection hidden="1"/>
    </xf>
    <xf numFmtId="4" fontId="16" fillId="0" borderId="0" xfId="0" applyNumberFormat="1" applyFont="1" applyFill="1" applyBorder="1" applyAlignment="1" applyProtection="1">
      <protection hidden="1"/>
    </xf>
    <xf numFmtId="4" fontId="15" fillId="0" borderId="0" xfId="0" applyNumberFormat="1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protection hidden="1"/>
    </xf>
    <xf numFmtId="0" fontId="21" fillId="0" borderId="0" xfId="0" applyFont="1" applyFill="1" applyBorder="1" applyAlignment="1" applyProtection="1">
      <protection hidden="1"/>
    </xf>
    <xf numFmtId="4" fontId="0" fillId="0" borderId="0" xfId="0" applyNumberFormat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 applyProtection="1">
      <alignment vertical="center" wrapText="1"/>
      <protection hidden="1"/>
    </xf>
    <xf numFmtId="4" fontId="34" fillId="0" borderId="1" xfId="0" applyNumberFormat="1" applyFont="1" applyBorder="1" applyAlignment="1" applyProtection="1">
      <alignment horizontal="right"/>
      <protection hidden="1"/>
    </xf>
    <xf numFmtId="0" fontId="46" fillId="0" borderId="0" xfId="0" applyFont="1" applyProtection="1">
      <protection hidden="1"/>
    </xf>
    <xf numFmtId="0" fontId="16" fillId="0" borderId="9" xfId="0" applyFont="1" applyBorder="1" applyProtection="1">
      <protection hidden="1"/>
    </xf>
    <xf numFmtId="0" fontId="13" fillId="0" borderId="9" xfId="0" applyFont="1" applyBorder="1" applyProtection="1">
      <protection hidden="1"/>
    </xf>
    <xf numFmtId="0" fontId="5" fillId="0" borderId="28" xfId="5" applyFont="1" applyBorder="1" applyAlignment="1" applyProtection="1">
      <protection hidden="1"/>
    </xf>
    <xf numFmtId="0" fontId="5" fillId="0" borderId="0" xfId="5" applyFont="1" applyBorder="1" applyAlignment="1" applyProtection="1">
      <protection hidden="1"/>
    </xf>
    <xf numFmtId="2" fontId="34" fillId="0" borderId="11" xfId="5" applyNumberFormat="1" applyFont="1" applyBorder="1" applyAlignment="1" applyProtection="1">
      <alignment horizontal="center" vertical="center"/>
      <protection hidden="1"/>
    </xf>
    <xf numFmtId="0" fontId="47" fillId="0" borderId="0" xfId="0" applyFont="1" applyProtection="1">
      <protection hidden="1"/>
    </xf>
    <xf numFmtId="2" fontId="34" fillId="0" borderId="1" xfId="4" applyNumberFormat="1" applyFont="1" applyBorder="1" applyAlignment="1" applyProtection="1">
      <alignment horizontal="right"/>
      <protection hidden="1"/>
    </xf>
    <xf numFmtId="0" fontId="10" fillId="0" borderId="0" xfId="5" applyFont="1" applyBorder="1" applyAlignment="1" applyProtection="1">
      <alignment horizontal="left" vertical="top"/>
      <protection hidden="1"/>
    </xf>
    <xf numFmtId="0" fontId="34" fillId="0" borderId="1" xfId="5" applyFont="1" applyFill="1" applyBorder="1" applyAlignment="1" applyProtection="1">
      <alignment horizontal="center" vertical="center" wrapText="1"/>
      <protection hidden="1"/>
    </xf>
    <xf numFmtId="0" fontId="39" fillId="0" borderId="1" xfId="0" applyFont="1" applyFill="1" applyBorder="1" applyAlignment="1" applyProtection="1">
      <alignment horizontal="center" vertical="center"/>
      <protection hidden="1"/>
    </xf>
    <xf numFmtId="0" fontId="34" fillId="0" borderId="1" xfId="5" applyFont="1" applyFill="1" applyBorder="1" applyAlignment="1" applyProtection="1">
      <alignment horizontal="center" vertical="top"/>
      <protection hidden="1"/>
    </xf>
    <xf numFmtId="0" fontId="34" fillId="0" borderId="1" xfId="5" applyFont="1" applyFill="1" applyBorder="1" applyAlignment="1" applyProtection="1">
      <alignment horizontal="center" vertical="center"/>
      <protection hidden="1"/>
    </xf>
    <xf numFmtId="0" fontId="34" fillId="0" borderId="0" xfId="5" applyFont="1" applyBorder="1" applyAlignment="1" applyProtection="1">
      <alignment vertical="top"/>
      <protection hidden="1"/>
    </xf>
    <xf numFmtId="0" fontId="10" fillId="0" borderId="0" xfId="5" applyFont="1" applyBorder="1" applyAlignment="1" applyProtection="1">
      <alignment horizontal="left" vertical="center"/>
      <protection hidden="1"/>
    </xf>
    <xf numFmtId="0" fontId="52" fillId="0" borderId="0" xfId="0" applyFont="1" applyProtection="1">
      <protection hidden="1"/>
    </xf>
    <xf numFmtId="0" fontId="36" fillId="0" borderId="0" xfId="5" applyFont="1" applyBorder="1" applyAlignment="1" applyProtection="1">
      <alignment horizontal="left" vertical="top"/>
      <protection hidden="1"/>
    </xf>
    <xf numFmtId="0" fontId="34" fillId="0" borderId="0" xfId="5" applyFont="1" applyBorder="1" applyAlignment="1" applyProtection="1">
      <alignment vertical="center" wrapText="1"/>
      <protection hidden="1"/>
    </xf>
    <xf numFmtId="0" fontId="34" fillId="0" borderId="0" xfId="5" applyFont="1" applyBorder="1" applyAlignment="1" applyProtection="1">
      <alignment vertical="center"/>
      <protection hidden="1"/>
    </xf>
    <xf numFmtId="0" fontId="34" fillId="0" borderId="0" xfId="5" applyFont="1" applyFill="1" applyBorder="1" applyAlignment="1" applyProtection="1">
      <alignment horizontal="center" vertical="center" wrapText="1"/>
      <protection hidden="1"/>
    </xf>
    <xf numFmtId="0" fontId="39" fillId="0" borderId="0" xfId="0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0" fontId="34" fillId="0" borderId="0" xfId="5" applyFont="1" applyBorder="1" applyAlignment="1" applyProtection="1">
      <alignment vertical="top" wrapText="1"/>
      <protection hidden="1"/>
    </xf>
    <xf numFmtId="0" fontId="34" fillId="0" borderId="0" xfId="5" applyFont="1" applyBorder="1" applyAlignment="1" applyProtection="1">
      <alignment horizontal="center" vertical="center"/>
      <protection hidden="1"/>
    </xf>
    <xf numFmtId="0" fontId="10" fillId="0" borderId="0" xfId="5" applyFont="1" applyProtection="1">
      <protection hidden="1"/>
    </xf>
    <xf numFmtId="0" fontId="34" fillId="0" borderId="0" xfId="5" applyFont="1" applyProtection="1">
      <protection hidden="1"/>
    </xf>
    <xf numFmtId="0" fontId="2" fillId="0" borderId="40" xfId="8" applyBorder="1" applyProtection="1">
      <protection hidden="1"/>
    </xf>
    <xf numFmtId="0" fontId="38" fillId="0" borderId="0" xfId="8" applyFont="1" applyAlignment="1" applyProtection="1">
      <protection hidden="1"/>
    </xf>
    <xf numFmtId="0" fontId="2" fillId="0" borderId="0" xfId="8" applyProtection="1">
      <protection hidden="1"/>
    </xf>
    <xf numFmtId="0" fontId="38" fillId="0" borderId="0" xfId="8" applyFont="1" applyAlignment="1" applyProtection="1">
      <alignment vertical="top"/>
      <protection hidden="1"/>
    </xf>
    <xf numFmtId="0" fontId="44" fillId="0" borderId="0" xfId="5" applyFont="1" applyProtection="1">
      <protection hidden="1"/>
    </xf>
    <xf numFmtId="0" fontId="34" fillId="0" borderId="25" xfId="5" applyFont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5" fillId="0" borderId="0" xfId="5" applyFont="1" applyFill="1" applyBorder="1" applyAlignment="1" applyProtection="1">
      <protection hidden="1"/>
    </xf>
    <xf numFmtId="0" fontId="14" fillId="0" borderId="0" xfId="5" applyFont="1" applyFill="1" applyBorder="1" applyAlignment="1" applyProtection="1">
      <alignment horizontal="center"/>
      <protection hidden="1"/>
    </xf>
    <xf numFmtId="0" fontId="14" fillId="0" borderId="0" xfId="5" applyFont="1" applyFill="1" applyBorder="1" applyAlignment="1" applyProtection="1">
      <protection hidden="1"/>
    </xf>
    <xf numFmtId="0" fontId="5" fillId="0" borderId="0" xfId="5" applyFont="1" applyFill="1" applyBorder="1" applyAlignment="1" applyProtection="1">
      <alignment horizontal="center"/>
      <protection hidden="1"/>
    </xf>
    <xf numFmtId="164" fontId="13" fillId="0" borderId="0" xfId="0" applyNumberFormat="1" applyFont="1" applyFill="1" applyBorder="1" applyAlignment="1" applyProtection="1">
      <alignment horizontal="right"/>
      <protection hidden="1"/>
    </xf>
    <xf numFmtId="0" fontId="1" fillId="0" borderId="1" xfId="0" applyFont="1" applyBorder="1" applyProtection="1">
      <protection hidden="1"/>
    </xf>
    <xf numFmtId="0" fontId="34" fillId="0" borderId="0" xfId="5" applyFont="1" applyFill="1" applyBorder="1" applyAlignment="1" applyProtection="1">
      <alignment vertical="center" wrapText="1"/>
      <protection hidden="1"/>
    </xf>
    <xf numFmtId="167" fontId="40" fillId="0" borderId="0" xfId="5" applyNumberFormat="1" applyFont="1" applyBorder="1" applyAlignment="1" applyProtection="1">
      <alignment vertical="center"/>
      <protection hidden="1"/>
    </xf>
    <xf numFmtId="4" fontId="34" fillId="0" borderId="0" xfId="5" applyNumberFormat="1" applyFont="1" applyBorder="1" applyAlignment="1" applyProtection="1">
      <alignment vertical="center"/>
      <protection hidden="1"/>
    </xf>
    <xf numFmtId="170" fontId="31" fillId="0" borderId="0" xfId="8" applyNumberFormat="1" applyFont="1" applyBorder="1" applyAlignment="1" applyProtection="1">
      <protection hidden="1"/>
    </xf>
    <xf numFmtId="0" fontId="13" fillId="0" borderId="40" xfId="0" applyFont="1" applyFill="1" applyBorder="1" applyProtection="1">
      <protection hidden="1"/>
    </xf>
    <xf numFmtId="0" fontId="44" fillId="0" borderId="0" xfId="5" applyFont="1" applyAlignment="1" applyProtection="1">
      <alignment wrapText="1"/>
      <protection hidden="1"/>
    </xf>
    <xf numFmtId="0" fontId="16" fillId="0" borderId="0" xfId="0" applyFont="1" applyFill="1" applyProtection="1">
      <protection hidden="1"/>
    </xf>
    <xf numFmtId="0" fontId="29" fillId="0" borderId="0" xfId="0" applyFont="1" applyFill="1" applyProtection="1">
      <protection hidden="1"/>
    </xf>
    <xf numFmtId="0" fontId="47" fillId="0" borderId="0" xfId="0" applyFont="1" applyFill="1" applyProtection="1">
      <protection hidden="1"/>
    </xf>
    <xf numFmtId="164" fontId="13" fillId="0" borderId="0" xfId="0" applyNumberFormat="1" applyFont="1" applyFill="1" applyAlignment="1" applyProtection="1">
      <alignment horizontal="right"/>
      <protection hidden="1"/>
    </xf>
    <xf numFmtId="0" fontId="34" fillId="0" borderId="1" xfId="5" applyFont="1" applyBorder="1" applyAlignment="1" applyProtection="1">
      <alignment vertical="center" wrapText="1"/>
      <protection locked="0" hidden="1"/>
    </xf>
    <xf numFmtId="0" fontId="34" fillId="0" borderId="1" xfId="5" applyFont="1" applyBorder="1" applyAlignment="1" applyProtection="1">
      <alignment vertical="center"/>
      <protection locked="0" hidden="1"/>
    </xf>
    <xf numFmtId="49" fontId="0" fillId="0" borderId="1" xfId="0" applyNumberFormat="1" applyBorder="1" applyAlignment="1" applyProtection="1">
      <alignment vertical="center"/>
      <protection locked="0" hidden="1"/>
    </xf>
    <xf numFmtId="0" fontId="34" fillId="0" borderId="1" xfId="5" applyNumberFormat="1" applyFont="1" applyBorder="1" applyAlignment="1" applyProtection="1">
      <alignment vertical="center"/>
      <protection locked="0" hidden="1"/>
    </xf>
    <xf numFmtId="49" fontId="34" fillId="0" borderId="4" xfId="5" applyNumberFormat="1" applyFont="1" applyBorder="1" applyAlignment="1" applyProtection="1">
      <alignment vertical="center" wrapText="1"/>
      <protection locked="0" hidden="1"/>
    </xf>
    <xf numFmtId="2" fontId="34" fillId="0" borderId="25" xfId="5" applyNumberFormat="1" applyFont="1" applyBorder="1" applyAlignment="1" applyProtection="1">
      <alignment vertical="center" wrapText="1"/>
      <protection locked="0" hidden="1"/>
    </xf>
    <xf numFmtId="2" fontId="34" fillId="0" borderId="4" xfId="5" applyNumberFormat="1" applyFont="1" applyBorder="1" applyAlignment="1" applyProtection="1">
      <alignment vertical="center" wrapText="1"/>
      <protection locked="0" hidden="1"/>
    </xf>
    <xf numFmtId="0" fontId="34" fillId="0" borderId="10" xfId="5" applyFont="1" applyFill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/>
      <protection hidden="1"/>
    </xf>
    <xf numFmtId="0" fontId="13" fillId="0" borderId="9" xfId="0" applyFont="1" applyFill="1" applyBorder="1" applyProtection="1">
      <protection hidden="1"/>
    </xf>
    <xf numFmtId="0" fontId="34" fillId="0" borderId="5" xfId="5" applyFont="1" applyBorder="1" applyAlignment="1" applyProtection="1">
      <alignment horizontal="center" vertical="top"/>
      <protection hidden="1"/>
    </xf>
    <xf numFmtId="0" fontId="14" fillId="0" borderId="0" xfId="5" applyFont="1" applyBorder="1" applyAlignment="1" applyProtection="1">
      <alignment horizontal="center"/>
      <protection hidden="1"/>
    </xf>
    <xf numFmtId="0" fontId="14" fillId="0" borderId="0" xfId="5" applyFont="1" applyBorder="1" applyAlignment="1" applyProtection="1">
      <protection hidden="1"/>
    </xf>
    <xf numFmtId="0" fontId="39" fillId="0" borderId="3" xfId="0" applyFont="1" applyBorder="1" applyAlignment="1" applyProtection="1">
      <alignment horizontal="center" vertical="center"/>
      <protection hidden="1"/>
    </xf>
    <xf numFmtId="0" fontId="13" fillId="2" borderId="0" xfId="0" applyFont="1" applyFill="1" applyProtection="1">
      <protection hidden="1"/>
    </xf>
    <xf numFmtId="0" fontId="36" fillId="0" borderId="10" xfId="5" applyFont="1" applyBorder="1" applyAlignment="1" applyProtection="1">
      <alignment horizontal="center" vertical="center"/>
      <protection hidden="1"/>
    </xf>
    <xf numFmtId="0" fontId="5" fillId="2" borderId="1" xfId="5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" fontId="34" fillId="0" borderId="2" xfId="5" applyNumberFormat="1" applyFont="1" applyBorder="1" applyAlignment="1" applyProtection="1">
      <alignment horizontal="center" vertical="center"/>
      <protection hidden="1"/>
    </xf>
    <xf numFmtId="4" fontId="34" fillId="0" borderId="1" xfId="5" applyNumberFormat="1" applyFont="1" applyBorder="1" applyAlignment="1" applyProtection="1">
      <alignment horizontal="center" vertical="center"/>
      <protection hidden="1"/>
    </xf>
    <xf numFmtId="0" fontId="34" fillId="0" borderId="1" xfId="5" applyFont="1" applyBorder="1" applyAlignment="1" applyProtection="1">
      <alignment horizontal="center"/>
      <protection hidden="1"/>
    </xf>
    <xf numFmtId="0" fontId="34" fillId="0" borderId="4" xfId="5" applyFont="1" applyBorder="1" applyAlignment="1" applyProtection="1">
      <alignment horizontal="center" vertical="center"/>
      <protection hidden="1"/>
    </xf>
    <xf numFmtId="0" fontId="34" fillId="0" borderId="3" xfId="5" applyFont="1" applyBorder="1" applyAlignment="1" applyProtection="1">
      <alignment horizontal="center" vertical="center"/>
      <protection hidden="1"/>
    </xf>
    <xf numFmtId="0" fontId="34" fillId="0" borderId="10" xfId="5" applyFont="1" applyBorder="1" applyAlignment="1" applyProtection="1">
      <alignment horizontal="center" vertical="center"/>
      <protection hidden="1"/>
    </xf>
    <xf numFmtId="0" fontId="34" fillId="0" borderId="11" xfId="5" applyFont="1" applyBorder="1" applyAlignment="1" applyProtection="1">
      <alignment horizontal="center" vertical="center"/>
      <protection hidden="1"/>
    </xf>
    <xf numFmtId="167" fontId="34" fillId="0" borderId="1" xfId="5" applyNumberFormat="1" applyFont="1" applyBorder="1" applyAlignment="1" applyProtection="1">
      <alignment horizontal="center" vertical="center"/>
      <protection hidden="1"/>
    </xf>
    <xf numFmtId="0" fontId="36" fillId="0" borderId="0" xfId="5" applyFont="1" applyBorder="1" applyAlignment="1" applyProtection="1">
      <alignment horizontal="center" vertical="top"/>
      <protection hidden="1"/>
    </xf>
    <xf numFmtId="0" fontId="34" fillId="0" borderId="28" xfId="5" applyFont="1" applyBorder="1" applyAlignment="1" applyProtection="1">
      <alignment horizontal="center" vertical="top"/>
      <protection hidden="1"/>
    </xf>
    <xf numFmtId="0" fontId="34" fillId="0" borderId="10" xfId="5" applyFont="1" applyBorder="1" applyAlignment="1" applyProtection="1">
      <alignment horizontal="center" vertical="top"/>
      <protection hidden="1"/>
    </xf>
    <xf numFmtId="0" fontId="34" fillId="0" borderId="1" xfId="5" applyFont="1" applyBorder="1" applyAlignment="1" applyProtection="1">
      <alignment horizontal="center" vertical="center"/>
      <protection hidden="1"/>
    </xf>
    <xf numFmtId="0" fontId="38" fillId="0" borderId="0" xfId="8" applyFont="1" applyAlignment="1" applyProtection="1">
      <alignment horizontal="center" vertical="top"/>
      <protection hidden="1"/>
    </xf>
    <xf numFmtId="0" fontId="34" fillId="0" borderId="0" xfId="5" applyFont="1" applyBorder="1" applyAlignment="1" applyProtection="1">
      <alignment horizontal="center" vertical="top"/>
      <protection hidden="1"/>
    </xf>
    <xf numFmtId="0" fontId="34" fillId="0" borderId="1" xfId="5" applyFont="1" applyBorder="1" applyAlignment="1" applyProtection="1">
      <alignment horizontal="center" vertical="top"/>
      <protection hidden="1"/>
    </xf>
    <xf numFmtId="167" fontId="40" fillId="0" borderId="1" xfId="5" applyNumberFormat="1" applyFont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/>
      <protection hidden="1"/>
    </xf>
    <xf numFmtId="0" fontId="43" fillId="0" borderId="0" xfId="0" applyFont="1" applyProtection="1">
      <protection hidden="1"/>
    </xf>
    <xf numFmtId="0" fontId="43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 wrapText="1"/>
      <protection hidden="1"/>
    </xf>
    <xf numFmtId="0" fontId="56" fillId="0" borderId="1" xfId="0" applyFont="1" applyBorder="1" applyAlignment="1" applyProtection="1">
      <alignment horizontal="center"/>
      <protection hidden="1"/>
    </xf>
    <xf numFmtId="0" fontId="23" fillId="0" borderId="0" xfId="5" applyFont="1" applyProtection="1">
      <protection hidden="1"/>
    </xf>
    <xf numFmtId="0" fontId="13" fillId="0" borderId="0" xfId="0" applyFont="1" applyFill="1" applyBorder="1" applyAlignment="1" applyProtection="1">
      <alignment vertical="top" wrapText="1"/>
      <protection hidden="1"/>
    </xf>
    <xf numFmtId="0" fontId="34" fillId="0" borderId="1" xfId="5" applyFont="1" applyBorder="1" applyProtection="1">
      <protection hidden="1"/>
    </xf>
    <xf numFmtId="0" fontId="0" fillId="0" borderId="0" xfId="0" applyFill="1" applyAlignment="1" applyProtection="1">
      <alignment wrapText="1"/>
      <protection hidden="1"/>
    </xf>
    <xf numFmtId="0" fontId="34" fillId="0" borderId="0" xfId="5" applyFont="1" applyBorder="1" applyProtection="1">
      <protection hidden="1"/>
    </xf>
    <xf numFmtId="0" fontId="13" fillId="0" borderId="0" xfId="0" applyFont="1" applyFill="1" applyBorder="1" applyAlignment="1" applyProtection="1">
      <protection hidden="1"/>
    </xf>
    <xf numFmtId="0" fontId="10" fillId="0" borderId="0" xfId="5" applyFont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8" fillId="0" borderId="0" xfId="0" applyFont="1" applyFill="1" applyBorder="1" applyAlignment="1" applyProtection="1">
      <protection hidden="1"/>
    </xf>
    <xf numFmtId="0" fontId="0" fillId="0" borderId="0" xfId="0" applyFill="1" applyBorder="1" applyAlignment="1" applyProtection="1">
      <alignment vertical="center" wrapText="1"/>
      <protection hidden="1"/>
    </xf>
    <xf numFmtId="0" fontId="39" fillId="0" borderId="0" xfId="0" applyFont="1" applyBorder="1" applyAlignment="1" applyProtection="1">
      <alignment horizontal="center" vertical="center"/>
      <protection hidden="1"/>
    </xf>
    <xf numFmtId="170" fontId="31" fillId="0" borderId="0" xfId="8" applyNumberFormat="1" applyFont="1" applyBorder="1" applyAlignment="1" applyProtection="1">
      <alignment horizontal="center"/>
      <protection hidden="1"/>
    </xf>
    <xf numFmtId="0" fontId="31" fillId="0" borderId="0" xfId="8" applyFont="1" applyBorder="1" applyAlignment="1" applyProtection="1">
      <protection hidden="1"/>
    </xf>
    <xf numFmtId="0" fontId="38" fillId="0" borderId="0" xfId="8" applyFont="1" applyBorder="1" applyAlignment="1" applyProtection="1">
      <alignment vertical="top"/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10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13" fillId="0" borderId="27" xfId="0" applyFont="1" applyBorder="1" applyProtection="1">
      <protection hidden="1"/>
    </xf>
    <xf numFmtId="0" fontId="39" fillId="0" borderId="0" xfId="8" applyFont="1" applyProtection="1">
      <protection hidden="1"/>
    </xf>
    <xf numFmtId="0" fontId="34" fillId="0" borderId="2" xfId="5" applyFont="1" applyBorder="1" applyProtection="1">
      <protection hidden="1"/>
    </xf>
    <xf numFmtId="0" fontId="34" fillId="0" borderId="4" xfId="5" applyFont="1" applyBorder="1" applyProtection="1">
      <protection hidden="1"/>
    </xf>
    <xf numFmtId="0" fontId="34" fillId="0" borderId="3" xfId="5" applyFont="1" applyBorder="1" applyProtection="1">
      <protection hidden="1"/>
    </xf>
    <xf numFmtId="0" fontId="39" fillId="0" borderId="4" xfId="0" applyFont="1" applyBorder="1" applyAlignment="1" applyProtection="1">
      <alignment vertical="center"/>
      <protection hidden="1"/>
    </xf>
    <xf numFmtId="0" fontId="0" fillId="0" borderId="3" xfId="0" applyBorder="1" applyProtection="1">
      <protection hidden="1"/>
    </xf>
    <xf numFmtId="0" fontId="34" fillId="0" borderId="7" xfId="5" applyFont="1" applyBorder="1" applyProtection="1">
      <protection hidden="1"/>
    </xf>
    <xf numFmtId="0" fontId="34" fillId="0" borderId="26" xfId="5" applyFont="1" applyBorder="1" applyProtection="1">
      <protection hidden="1"/>
    </xf>
    <xf numFmtId="0" fontId="34" fillId="0" borderId="8" xfId="5" applyFont="1" applyBorder="1" applyProtection="1">
      <protection hidden="1"/>
    </xf>
    <xf numFmtId="0" fontId="34" fillId="0" borderId="0" xfId="5" applyFont="1" applyBorder="1" applyAlignment="1" applyProtection="1">
      <protection hidden="1"/>
    </xf>
    <xf numFmtId="0" fontId="32" fillId="0" borderId="0" xfId="5" applyFont="1" applyAlignment="1" applyProtection="1">
      <protection hidden="1"/>
    </xf>
    <xf numFmtId="0" fontId="36" fillId="0" borderId="0" xfId="5" applyFont="1" applyProtection="1">
      <protection hidden="1"/>
    </xf>
    <xf numFmtId="0" fontId="41" fillId="0" borderId="0" xfId="5" applyFont="1" applyAlignment="1" applyProtection="1">
      <protection hidden="1"/>
    </xf>
    <xf numFmtId="0" fontId="34" fillId="0" borderId="0" xfId="5" applyFont="1" applyBorder="1" applyAlignment="1" applyProtection="1">
      <alignment horizontal="left"/>
      <protection hidden="1"/>
    </xf>
    <xf numFmtId="0" fontId="38" fillId="0" borderId="0" xfId="8" applyFont="1" applyBorder="1" applyAlignment="1" applyProtection="1">
      <alignment horizontal="center" vertical="top"/>
      <protection hidden="1"/>
    </xf>
    <xf numFmtId="0" fontId="34" fillId="0" borderId="40" xfId="5" applyFont="1" applyBorder="1" applyProtection="1">
      <protection hidden="1"/>
    </xf>
    <xf numFmtId="0" fontId="0" fillId="0" borderId="40" xfId="0" applyBorder="1" applyProtection="1">
      <protection hidden="1"/>
    </xf>
    <xf numFmtId="0" fontId="53" fillId="0" borderId="0" xfId="5" applyFont="1" applyProtection="1">
      <protection hidden="1"/>
    </xf>
    <xf numFmtId="169" fontId="34" fillId="0" borderId="2" xfId="5" applyNumberFormat="1" applyFont="1" applyBorder="1" applyProtection="1">
      <protection locked="0" hidden="1"/>
    </xf>
    <xf numFmtId="0" fontId="31" fillId="0" borderId="0" xfId="8" applyFont="1" applyBorder="1" applyAlignment="1" applyProtection="1">
      <alignment horizontal="center"/>
      <protection hidden="1"/>
    </xf>
    <xf numFmtId="0" fontId="38" fillId="0" borderId="0" xfId="8" applyFont="1" applyBorder="1" applyAlignment="1" applyProtection="1">
      <alignment horizontal="center" vertical="top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34" fillId="0" borderId="1" xfId="5" applyFont="1" applyBorder="1" applyAlignment="1" applyProtection="1">
      <alignment horizontal="center" vertical="center" wrapText="1"/>
      <protection hidden="1"/>
    </xf>
    <xf numFmtId="170" fontId="31" fillId="0" borderId="0" xfId="8" applyNumberFormat="1" applyFont="1" applyBorder="1" applyAlignment="1" applyProtection="1">
      <alignment horizontal="center"/>
      <protection hidden="1"/>
    </xf>
    <xf numFmtId="0" fontId="38" fillId="0" borderId="0" xfId="8" applyFont="1" applyAlignment="1" applyProtection="1">
      <alignment horizontal="center" vertical="top"/>
      <protection hidden="1"/>
    </xf>
    <xf numFmtId="0" fontId="34" fillId="0" borderId="9" xfId="5" applyFont="1" applyBorder="1" applyAlignment="1" applyProtection="1">
      <alignment horizontal="left" vertical="top" wrapText="1"/>
      <protection hidden="1"/>
    </xf>
    <xf numFmtId="0" fontId="34" fillId="0" borderId="0" xfId="5" applyFont="1" applyBorder="1" applyAlignment="1" applyProtection="1">
      <alignment horizontal="left" vertical="top" wrapText="1"/>
      <protection hidden="1"/>
    </xf>
    <xf numFmtId="0" fontId="34" fillId="0" borderId="6" xfId="5" applyFont="1" applyBorder="1" applyAlignment="1" applyProtection="1">
      <alignment horizontal="left" vertical="top" wrapText="1"/>
      <protection hidden="1"/>
    </xf>
    <xf numFmtId="2" fontId="34" fillId="0" borderId="25" xfId="5" applyNumberFormat="1" applyFont="1" applyBorder="1" applyAlignment="1" applyProtection="1">
      <alignment horizontal="right" vertical="center" wrapText="1"/>
      <protection hidden="1"/>
    </xf>
    <xf numFmtId="0" fontId="34" fillId="0" borderId="0" xfId="5" applyFont="1" applyBorder="1" applyAlignment="1" applyProtection="1">
      <alignment horizontal="center" vertical="top"/>
      <protection hidden="1"/>
    </xf>
    <xf numFmtId="0" fontId="34" fillId="0" borderId="7" xfId="5" applyFont="1" applyBorder="1" applyAlignment="1" applyProtection="1">
      <alignment vertical="center" wrapText="1"/>
      <protection hidden="1"/>
    </xf>
    <xf numFmtId="0" fontId="34" fillId="0" borderId="8" xfId="5" applyFont="1" applyBorder="1" applyAlignment="1" applyProtection="1">
      <alignment vertical="center" wrapText="1"/>
      <protection hidden="1"/>
    </xf>
    <xf numFmtId="0" fontId="34" fillId="0" borderId="11" xfId="5" applyFont="1" applyBorder="1" applyAlignment="1" applyProtection="1">
      <alignment horizontal="left" vertical="top"/>
      <protection hidden="1"/>
    </xf>
    <xf numFmtId="2" fontId="34" fillId="0" borderId="12" xfId="5" applyNumberFormat="1" applyFont="1" applyBorder="1" applyAlignment="1" applyProtection="1">
      <alignment vertical="center" wrapText="1"/>
      <protection hidden="1"/>
    </xf>
    <xf numFmtId="4" fontId="34" fillId="0" borderId="25" xfId="5" applyNumberFormat="1" applyFont="1" applyBorder="1" applyAlignment="1" applyProtection="1">
      <alignment horizontal="right" vertical="center" wrapText="1"/>
      <protection hidden="1"/>
    </xf>
    <xf numFmtId="0" fontId="34" fillId="0" borderId="26" xfId="5" applyFont="1" applyBorder="1" applyAlignment="1" applyProtection="1">
      <alignment horizontal="center" vertical="top"/>
      <protection hidden="1"/>
    </xf>
    <xf numFmtId="0" fontId="34" fillId="0" borderId="25" xfId="5" applyFont="1" applyBorder="1" applyAlignment="1" applyProtection="1">
      <alignment horizontal="center" vertical="top"/>
      <protection hidden="1"/>
    </xf>
    <xf numFmtId="0" fontId="34" fillId="0" borderId="26" xfId="5" applyFont="1" applyBorder="1" applyAlignment="1" applyProtection="1">
      <alignment vertical="center" wrapText="1"/>
      <protection hidden="1"/>
    </xf>
    <xf numFmtId="0" fontId="34" fillId="0" borderId="9" xfId="5" applyFont="1" applyBorder="1" applyAlignment="1" applyProtection="1">
      <alignment vertical="center" wrapText="1"/>
      <protection hidden="1"/>
    </xf>
    <xf numFmtId="0" fontId="34" fillId="0" borderId="6" xfId="5" applyFont="1" applyBorder="1" applyAlignment="1" applyProtection="1">
      <alignment vertical="center" wrapText="1"/>
      <protection hidden="1"/>
    </xf>
    <xf numFmtId="4" fontId="34" fillId="0" borderId="12" xfId="5" applyNumberFormat="1" applyFont="1" applyBorder="1" applyAlignment="1" applyProtection="1">
      <alignment horizontal="right" vertical="center" wrapText="1"/>
      <protection hidden="1"/>
    </xf>
    <xf numFmtId="0" fontId="34" fillId="0" borderId="11" xfId="5" applyFont="1" applyBorder="1" applyAlignment="1" applyProtection="1">
      <alignment wrapText="1"/>
      <protection hidden="1"/>
    </xf>
    <xf numFmtId="49" fontId="34" fillId="0" borderId="1" xfId="5" applyNumberFormat="1" applyFont="1" applyBorder="1" applyAlignment="1" applyProtection="1">
      <alignment vertical="center" wrapText="1"/>
      <protection locked="0" hidden="1"/>
    </xf>
    <xf numFmtId="49" fontId="34" fillId="0" borderId="1" xfId="5" applyNumberFormat="1" applyFont="1" applyBorder="1" applyAlignment="1" applyProtection="1">
      <alignment vertical="top" wrapText="1"/>
      <protection locked="0" hidden="1"/>
    </xf>
    <xf numFmtId="0" fontId="43" fillId="0" borderId="0" xfId="0" applyFont="1" applyAlignment="1" applyProtection="1">
      <alignment horizontal="left" vertical="top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33" fillId="0" borderId="0" xfId="5" applyFont="1" applyAlignment="1">
      <alignment horizontal="left" wrapText="1"/>
    </xf>
    <xf numFmtId="0" fontId="34" fillId="0" borderId="0" xfId="5" applyFont="1" applyBorder="1" applyAlignment="1">
      <alignment horizontal="left"/>
    </xf>
    <xf numFmtId="0" fontId="34" fillId="0" borderId="0" xfId="5" applyFont="1" applyBorder="1" applyAlignment="1">
      <alignment horizontal="center" vertical="center"/>
    </xf>
    <xf numFmtId="0" fontId="34" fillId="0" borderId="2" xfId="5" applyFont="1" applyBorder="1" applyAlignment="1">
      <alignment horizontal="center"/>
    </xf>
    <xf numFmtId="0" fontId="34" fillId="0" borderId="4" xfId="5" applyFont="1" applyBorder="1" applyAlignment="1">
      <alignment horizontal="center"/>
    </xf>
    <xf numFmtId="0" fontId="34" fillId="0" borderId="1" xfId="5" applyFont="1" applyBorder="1" applyAlignment="1">
      <alignment horizontal="center"/>
    </xf>
    <xf numFmtId="0" fontId="34" fillId="0" borderId="3" xfId="5" applyFont="1" applyBorder="1" applyAlignment="1">
      <alignment horizontal="center"/>
    </xf>
    <xf numFmtId="0" fontId="31" fillId="0" borderId="0" xfId="8" applyFont="1" applyBorder="1" applyAlignment="1">
      <alignment horizontal="center"/>
    </xf>
    <xf numFmtId="0" fontId="38" fillId="0" borderId="0" xfId="8" applyFont="1" applyBorder="1" applyAlignment="1">
      <alignment horizontal="center" vertical="top"/>
    </xf>
    <xf numFmtId="0" fontId="34" fillId="0" borderId="1" xfId="5" applyFont="1" applyBorder="1" applyAlignment="1">
      <alignment horizontal="center" vertical="center"/>
    </xf>
    <xf numFmtId="0" fontId="2" fillId="0" borderId="0" xfId="8" applyAlignment="1">
      <alignment horizontal="center"/>
    </xf>
    <xf numFmtId="0" fontId="10" fillId="0" borderId="0" xfId="5" applyFont="1" applyAlignment="1">
      <alignment horizontal="center"/>
    </xf>
    <xf numFmtId="0" fontId="31" fillId="0" borderId="0" xfId="8" applyFont="1" applyBorder="1" applyAlignment="1">
      <alignment horizontal="left" vertical="top" wrapText="1"/>
    </xf>
    <xf numFmtId="0" fontId="36" fillId="0" borderId="0" xfId="5" applyFont="1" applyBorder="1" applyAlignment="1">
      <alignment horizontal="center" vertical="top"/>
    </xf>
    <xf numFmtId="0" fontId="34" fillId="0" borderId="2" xfId="5" applyFont="1" applyBorder="1" applyAlignment="1">
      <alignment horizontal="left" wrapText="1"/>
    </xf>
    <xf numFmtId="0" fontId="34" fillId="0" borderId="3" xfId="5" applyFont="1" applyBorder="1" applyAlignment="1">
      <alignment horizontal="left" wrapText="1"/>
    </xf>
    <xf numFmtId="0" fontId="34" fillId="0" borderId="28" xfId="5" applyFont="1" applyBorder="1" applyAlignment="1">
      <alignment horizontal="center"/>
    </xf>
    <xf numFmtId="0" fontId="34" fillId="0" borderId="4" xfId="5" applyFont="1" applyBorder="1" applyAlignment="1">
      <alignment horizontal="left" wrapText="1"/>
    </xf>
    <xf numFmtId="0" fontId="39" fillId="0" borderId="1" xfId="8" applyFont="1" applyBorder="1" applyAlignment="1">
      <alignment horizontal="center"/>
    </xf>
    <xf numFmtId="0" fontId="34" fillId="0" borderId="10" xfId="5" applyFont="1" applyBorder="1" applyAlignment="1">
      <alignment horizontal="left"/>
    </xf>
    <xf numFmtId="0" fontId="34" fillId="0" borderId="2" xfId="5" applyFont="1" applyBorder="1" applyAlignment="1">
      <alignment horizontal="left"/>
    </xf>
    <xf numFmtId="0" fontId="34" fillId="0" borderId="1" xfId="5" applyFont="1" applyBorder="1" applyAlignment="1">
      <alignment horizontal="left"/>
    </xf>
    <xf numFmtId="2" fontId="34" fillId="0" borderId="2" xfId="5" applyNumberFormat="1" applyFont="1" applyBorder="1" applyAlignment="1">
      <alignment horizontal="center"/>
    </xf>
    <xf numFmtId="0" fontId="34" fillId="0" borderId="0" xfId="5" applyFont="1" applyBorder="1" applyAlignment="1">
      <alignment horizontal="center" wrapText="1"/>
    </xf>
    <xf numFmtId="0" fontId="34" fillId="0" borderId="2" xfId="5" applyFont="1" applyBorder="1" applyAlignment="1">
      <alignment horizontal="left" vertical="center" wrapText="1"/>
    </xf>
    <xf numFmtId="0" fontId="34" fillId="0" borderId="3" xfId="5" applyFont="1" applyBorder="1" applyAlignment="1">
      <alignment horizontal="left" vertical="center" wrapText="1"/>
    </xf>
    <xf numFmtId="0" fontId="34" fillId="0" borderId="2" xfId="5" applyFont="1" applyBorder="1" applyAlignment="1">
      <alignment horizontal="center" vertical="top"/>
    </xf>
    <xf numFmtId="0" fontId="34" fillId="0" borderId="3" xfId="5" applyFont="1" applyBorder="1" applyAlignment="1">
      <alignment horizontal="center" vertical="top"/>
    </xf>
    <xf numFmtId="0" fontId="10" fillId="0" borderId="1" xfId="0" applyFont="1" applyBorder="1" applyAlignment="1" applyProtection="1">
      <protection hidden="1"/>
    </xf>
    <xf numFmtId="0" fontId="0" fillId="0" borderId="1" xfId="0" applyBorder="1" applyAlignment="1" applyProtection="1"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0" fontId="0" fillId="0" borderId="3" xfId="0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wrapText="1"/>
      <protection hidden="1"/>
    </xf>
    <xf numFmtId="0" fontId="34" fillId="0" borderId="2" xfId="5" applyFont="1" applyBorder="1" applyAlignment="1" applyProtection="1">
      <alignment horizontal="left"/>
      <protection hidden="1"/>
    </xf>
    <xf numFmtId="0" fontId="34" fillId="0" borderId="3" xfId="5" applyFont="1" applyBorder="1" applyAlignment="1" applyProtection="1">
      <alignment horizontal="left"/>
      <protection hidden="1"/>
    </xf>
    <xf numFmtId="0" fontId="39" fillId="0" borderId="2" xfId="0" applyFont="1" applyBorder="1" applyAlignment="1" applyProtection="1">
      <alignment horizontal="left"/>
      <protection hidden="1"/>
    </xf>
    <xf numFmtId="0" fontId="39" fillId="0" borderId="3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34" xfId="0" applyBorder="1" applyAlignment="1" applyProtection="1">
      <alignment horizontal="center" vertical="center" textRotation="90"/>
      <protection hidden="1"/>
    </xf>
    <xf numFmtId="0" fontId="0" fillId="0" borderId="9" xfId="0" applyBorder="1" applyAlignment="1" applyProtection="1">
      <alignment horizontal="center" vertical="center" textRotation="90"/>
      <protection hidden="1"/>
    </xf>
    <xf numFmtId="0" fontId="0" fillId="0" borderId="37" xfId="0" applyBorder="1" applyAlignment="1" applyProtection="1">
      <alignment horizontal="center" vertical="center" textRotation="90"/>
      <protection hidden="1"/>
    </xf>
    <xf numFmtId="0" fontId="10" fillId="0" borderId="2" xfId="0" applyFont="1" applyBorder="1" applyAlignment="1" applyProtection="1">
      <protection hidden="1"/>
    </xf>
    <xf numFmtId="0" fontId="0" fillId="0" borderId="3" xfId="0" applyBorder="1" applyAlignment="1" applyProtection="1">
      <protection hidden="1"/>
    </xf>
    <xf numFmtId="0" fontId="10" fillId="0" borderId="4" xfId="0" applyFont="1" applyBorder="1" applyAlignment="1" applyProtection="1">
      <protection hidden="1"/>
    </xf>
    <xf numFmtId="0" fontId="8" fillId="0" borderId="7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0" fillId="0" borderId="39" xfId="0" applyBorder="1" applyAlignment="1" applyProtection="1">
      <alignment horizontal="center" vertical="center" textRotation="90"/>
      <protection hidden="1"/>
    </xf>
    <xf numFmtId="0" fontId="0" fillId="0" borderId="5" xfId="0" applyBorder="1" applyAlignment="1" applyProtection="1">
      <alignment horizontal="center" vertical="center" textRotation="90"/>
      <protection hidden="1"/>
    </xf>
    <xf numFmtId="0" fontId="0" fillId="0" borderId="38" xfId="0" applyBorder="1" applyAlignment="1" applyProtection="1">
      <alignment horizontal="center" vertical="center" textRotation="90"/>
      <protection hidden="1"/>
    </xf>
    <xf numFmtId="0" fontId="0" fillId="0" borderId="11" xfId="0" applyBorder="1" applyAlignment="1" applyProtection="1">
      <alignment horizontal="center" vertical="center" textRotation="90"/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7" xfId="0" applyBorder="1" applyAlignment="1" applyProtection="1">
      <alignment horizontal="center" vertical="center" textRotation="90"/>
      <protection hidden="1"/>
    </xf>
    <xf numFmtId="0" fontId="0" fillId="0" borderId="0" xfId="0" applyAlignment="1" applyProtection="1">
      <alignment wrapText="1"/>
      <protection hidden="1"/>
    </xf>
    <xf numFmtId="0" fontId="0" fillId="0" borderId="28" xfId="0" applyBorder="1" applyAlignment="1" applyProtection="1">
      <alignment horizontal="center" vertical="center" textRotation="90"/>
      <protection hidden="1"/>
    </xf>
    <xf numFmtId="0" fontId="0" fillId="2" borderId="0" xfId="0" applyFill="1" applyAlignment="1" applyProtection="1">
      <protection hidden="1"/>
    </xf>
    <xf numFmtId="0" fontId="0" fillId="0" borderId="0" xfId="0" applyAlignment="1" applyProtection="1">
      <protection hidden="1"/>
    </xf>
    <xf numFmtId="0" fontId="0" fillId="2" borderId="0" xfId="0" applyFont="1" applyFill="1" applyAlignment="1" applyProtection="1">
      <alignment horizontal="left" vertical="center" wrapText="1"/>
      <protection hidden="1"/>
    </xf>
    <xf numFmtId="0" fontId="0" fillId="2" borderId="9" xfId="0" applyFont="1" applyFill="1" applyBorder="1" applyAlignment="1" applyProtection="1">
      <alignment horizontal="left" vertical="center" wrapText="1"/>
      <protection hidden="1"/>
    </xf>
    <xf numFmtId="0" fontId="0" fillId="0" borderId="0" xfId="0" applyFont="1" applyAlignment="1" applyProtection="1">
      <alignment horizontal="left" vertical="center" wrapText="1"/>
      <protection hidden="1"/>
    </xf>
    <xf numFmtId="0" fontId="0" fillId="2" borderId="6" xfId="0" applyFill="1" applyBorder="1" applyAlignment="1" applyProtection="1">
      <alignment horizontal="left"/>
      <protection hidden="1"/>
    </xf>
    <xf numFmtId="0" fontId="0" fillId="2" borderId="9" xfId="0" applyFill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 applyProtection="1">
      <alignment wrapText="1"/>
      <protection hidden="1"/>
    </xf>
    <xf numFmtId="0" fontId="31" fillId="0" borderId="0" xfId="8" applyFont="1" applyBorder="1" applyAlignment="1" applyProtection="1">
      <alignment horizontal="center"/>
      <protection hidden="1"/>
    </xf>
    <xf numFmtId="0" fontId="38" fillId="0" borderId="0" xfId="8" applyFont="1" applyBorder="1" applyAlignment="1" applyProtection="1">
      <alignment horizontal="center" vertical="top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34" fillId="0" borderId="1" xfId="5" applyFont="1" applyBorder="1" applyAlignment="1" applyProtection="1">
      <alignment horizontal="center"/>
      <protection hidden="1"/>
    </xf>
    <xf numFmtId="0" fontId="31" fillId="0" borderId="0" xfId="8" applyFont="1" applyAlignment="1" applyProtection="1">
      <alignment horizontal="center"/>
      <protection hidden="1"/>
    </xf>
    <xf numFmtId="0" fontId="10" fillId="0" borderId="0" xfId="5" applyFont="1" applyAlignment="1" applyProtection="1">
      <alignment horizontal="center"/>
      <protection hidden="1"/>
    </xf>
    <xf numFmtId="49" fontId="59" fillId="3" borderId="0" xfId="8" applyNumberFormat="1" applyFont="1" applyFill="1" applyBorder="1" applyAlignment="1" applyProtection="1">
      <alignment horizontal="left" vertical="top" wrapText="1"/>
      <protection locked="0" hidden="1"/>
    </xf>
    <xf numFmtId="0" fontId="36" fillId="0" borderId="0" xfId="5" applyFont="1" applyBorder="1" applyAlignment="1" applyProtection="1">
      <alignment horizontal="center" vertical="top"/>
      <protection hidden="1"/>
    </xf>
    <xf numFmtId="0" fontId="39" fillId="0" borderId="1" xfId="0" applyFont="1" applyFill="1" applyBorder="1" applyAlignment="1" applyProtection="1">
      <alignment horizontal="center" wrapText="1"/>
      <protection locked="0" hidden="1"/>
    </xf>
    <xf numFmtId="0" fontId="34" fillId="0" borderId="1" xfId="5" applyFont="1" applyFill="1" applyBorder="1" applyAlignment="1" applyProtection="1">
      <alignment horizontal="center"/>
      <protection locked="0" hidden="1"/>
    </xf>
    <xf numFmtId="0" fontId="34" fillId="0" borderId="1" xfId="5" applyFont="1" applyBorder="1" applyAlignment="1" applyProtection="1">
      <alignment horizontal="left" wrapText="1"/>
      <protection hidden="1"/>
    </xf>
    <xf numFmtId="0" fontId="34" fillId="0" borderId="1" xfId="5" applyFont="1" applyBorder="1" applyAlignment="1" applyProtection="1">
      <alignment horizontal="center"/>
      <protection locked="0" hidden="1"/>
    </xf>
    <xf numFmtId="0" fontId="34" fillId="0" borderId="28" xfId="5" applyFont="1" applyBorder="1" applyAlignment="1" applyProtection="1">
      <alignment horizontal="center"/>
      <protection locked="0" hidden="1"/>
    </xf>
    <xf numFmtId="0" fontId="34" fillId="0" borderId="0" xfId="5" applyFont="1" applyBorder="1" applyAlignment="1" applyProtection="1">
      <alignment horizontal="center"/>
      <protection hidden="1"/>
    </xf>
    <xf numFmtId="0" fontId="34" fillId="0" borderId="1" xfId="5" applyFont="1" applyBorder="1" applyAlignment="1" applyProtection="1">
      <alignment horizontal="center" vertical="center"/>
      <protection hidden="1"/>
    </xf>
    <xf numFmtId="0" fontId="34" fillId="0" borderId="2" xfId="5" applyFont="1" applyBorder="1" applyAlignment="1" applyProtection="1">
      <alignment horizontal="left" vertical="center" wrapText="1"/>
      <protection hidden="1"/>
    </xf>
    <xf numFmtId="0" fontId="34" fillId="0" borderId="3" xfId="5" applyFont="1" applyBorder="1" applyAlignment="1" applyProtection="1">
      <alignment horizontal="left" vertical="center" wrapText="1"/>
      <protection hidden="1"/>
    </xf>
    <xf numFmtId="0" fontId="39" fillId="0" borderId="2" xfId="0" applyFont="1" applyBorder="1" applyAlignment="1" applyProtection="1">
      <alignment horizontal="center" vertical="center"/>
      <protection locked="0" hidden="1"/>
    </xf>
    <xf numFmtId="0" fontId="39" fillId="0" borderId="3" xfId="0" applyFont="1" applyBorder="1" applyAlignment="1" applyProtection="1">
      <alignment horizontal="center" vertical="center"/>
      <protection locked="0" hidden="1"/>
    </xf>
    <xf numFmtId="0" fontId="39" fillId="0" borderId="2" xfId="0" applyFont="1" applyBorder="1" applyAlignment="1" applyProtection="1">
      <alignment horizontal="center" vertical="center" wrapText="1"/>
      <protection locked="0" hidden="1"/>
    </xf>
    <xf numFmtId="0" fontId="39" fillId="0" borderId="3" xfId="0" applyFont="1" applyBorder="1" applyAlignment="1" applyProtection="1">
      <alignment horizontal="center" vertical="center" wrapText="1"/>
      <protection locked="0" hidden="1"/>
    </xf>
    <xf numFmtId="0" fontId="39" fillId="0" borderId="1" xfId="8" applyFont="1" applyBorder="1" applyAlignment="1" applyProtection="1">
      <alignment horizontal="center"/>
      <protection hidden="1"/>
    </xf>
    <xf numFmtId="0" fontId="34" fillId="0" borderId="1" xfId="5" applyFont="1" applyBorder="1" applyAlignment="1" applyProtection="1">
      <alignment horizontal="left"/>
      <protection hidden="1"/>
    </xf>
    <xf numFmtId="0" fontId="55" fillId="0" borderId="1" xfId="0" applyFont="1" applyBorder="1" applyAlignment="1" applyProtection="1">
      <alignment horizontal="center" vertical="center" wrapText="1"/>
      <protection locked="0" hidden="1"/>
    </xf>
    <xf numFmtId="0" fontId="55" fillId="0" borderId="2" xfId="0" applyFont="1" applyBorder="1" applyAlignment="1" applyProtection="1">
      <alignment horizontal="center" vertical="center" wrapText="1"/>
      <protection locked="0" hidden="1"/>
    </xf>
    <xf numFmtId="0" fontId="34" fillId="0" borderId="2" xfId="5" applyFont="1" applyBorder="1" applyAlignment="1" applyProtection="1">
      <alignment horizontal="left" vertical="top" wrapText="1"/>
      <protection hidden="1"/>
    </xf>
    <xf numFmtId="0" fontId="34" fillId="0" borderId="3" xfId="5" applyFont="1" applyBorder="1" applyAlignment="1" applyProtection="1">
      <alignment horizontal="left" vertical="top" wrapText="1"/>
      <protection hidden="1"/>
    </xf>
    <xf numFmtId="4" fontId="34" fillId="0" borderId="2" xfId="5" applyNumberFormat="1" applyFont="1" applyBorder="1" applyAlignment="1" applyProtection="1">
      <alignment horizontal="center" vertical="center"/>
      <protection hidden="1"/>
    </xf>
    <xf numFmtId="4" fontId="34" fillId="0" borderId="3" xfId="5" applyNumberFormat="1" applyFont="1" applyBorder="1" applyAlignment="1" applyProtection="1">
      <alignment horizontal="center" vertical="center"/>
      <protection hidden="1"/>
    </xf>
    <xf numFmtId="4" fontId="34" fillId="0" borderId="1" xfId="5" applyNumberFormat="1" applyFont="1" applyBorder="1" applyAlignment="1" applyProtection="1">
      <alignment horizontal="center" vertical="center"/>
      <protection hidden="1"/>
    </xf>
    <xf numFmtId="4" fontId="34" fillId="0" borderId="10" xfId="5" applyNumberFormat="1" applyFont="1" applyBorder="1" applyAlignment="1" applyProtection="1">
      <alignment horizontal="center" vertical="center"/>
      <protection hidden="1"/>
    </xf>
    <xf numFmtId="0" fontId="34" fillId="0" borderId="2" xfId="5" applyFont="1" applyBorder="1" applyAlignment="1" applyProtection="1">
      <alignment horizontal="left" vertical="top"/>
      <protection hidden="1"/>
    </xf>
    <xf numFmtId="0" fontId="34" fillId="0" borderId="3" xfId="5" applyFont="1" applyBorder="1" applyAlignment="1" applyProtection="1">
      <alignment horizontal="left" vertical="top"/>
      <protection hidden="1"/>
    </xf>
    <xf numFmtId="2" fontId="34" fillId="0" borderId="1" xfId="5" applyNumberFormat="1" applyFont="1" applyBorder="1" applyAlignment="1" applyProtection="1">
      <alignment horizontal="center"/>
      <protection hidden="1"/>
    </xf>
    <xf numFmtId="0" fontId="44" fillId="0" borderId="0" xfId="5" applyFont="1" applyAlignment="1" applyProtection="1">
      <alignment horizontal="left" wrapText="1"/>
      <protection hidden="1"/>
    </xf>
    <xf numFmtId="0" fontId="39" fillId="0" borderId="2" xfId="8" applyFont="1" applyBorder="1" applyAlignment="1" applyProtection="1">
      <alignment horizontal="center"/>
      <protection hidden="1"/>
    </xf>
    <xf numFmtId="0" fontId="39" fillId="0" borderId="3" xfId="8" applyFont="1" applyBorder="1" applyAlignment="1" applyProtection="1">
      <alignment horizontal="center"/>
      <protection hidden="1"/>
    </xf>
    <xf numFmtId="0" fontId="55" fillId="0" borderId="1" xfId="0" applyFont="1" applyFill="1" applyBorder="1" applyAlignment="1" applyProtection="1">
      <alignment horizontal="center" wrapText="1"/>
      <protection locked="0" hidden="1"/>
    </xf>
    <xf numFmtId="0" fontId="36" fillId="0" borderId="0" xfId="5" applyFont="1" applyAlignment="1" applyProtection="1">
      <alignment horizontal="center" vertical="top"/>
      <protection hidden="1"/>
    </xf>
    <xf numFmtId="0" fontId="34" fillId="0" borderId="28" xfId="5" applyFont="1" applyBorder="1" applyAlignment="1" applyProtection="1">
      <alignment horizontal="center" vertical="center"/>
      <protection hidden="1"/>
    </xf>
    <xf numFmtId="0" fontId="34" fillId="0" borderId="10" xfId="5" applyFont="1" applyBorder="1" applyAlignment="1" applyProtection="1">
      <alignment horizontal="center" vertical="center"/>
      <protection hidden="1"/>
    </xf>
    <xf numFmtId="0" fontId="34" fillId="0" borderId="1" xfId="5" applyFont="1" applyBorder="1" applyAlignment="1" applyProtection="1">
      <alignment horizontal="center" vertical="center" wrapText="1"/>
      <protection hidden="1"/>
    </xf>
    <xf numFmtId="0" fontId="32" fillId="0" borderId="1" xfId="5" applyFont="1" applyFill="1" applyBorder="1" applyAlignment="1" applyProtection="1">
      <alignment horizontal="center"/>
      <protection locked="0" hidden="1"/>
    </xf>
    <xf numFmtId="0" fontId="32" fillId="0" borderId="28" xfId="5" applyFont="1" applyBorder="1" applyAlignment="1" applyProtection="1">
      <alignment horizontal="center"/>
      <protection locked="0" hidden="1"/>
    </xf>
    <xf numFmtId="0" fontId="34" fillId="0" borderId="2" xfId="5" applyFont="1" applyBorder="1" applyAlignment="1" applyProtection="1">
      <alignment horizontal="center" vertical="center"/>
      <protection hidden="1"/>
    </xf>
    <xf numFmtId="0" fontId="34" fillId="0" borderId="4" xfId="5" applyFont="1" applyBorder="1" applyAlignment="1" applyProtection="1">
      <alignment horizontal="center" vertical="center"/>
      <protection hidden="1"/>
    </xf>
    <xf numFmtId="0" fontId="34" fillId="0" borderId="3" xfId="5" applyFont="1" applyBorder="1" applyAlignment="1" applyProtection="1">
      <alignment horizontal="center" vertical="center"/>
      <protection hidden="1"/>
    </xf>
    <xf numFmtId="49" fontId="34" fillId="0" borderId="2" xfId="5" applyNumberFormat="1" applyFont="1" applyBorder="1" applyAlignment="1" applyProtection="1">
      <alignment horizontal="center" vertical="top" wrapText="1"/>
      <protection locked="0" hidden="1"/>
    </xf>
    <xf numFmtId="49" fontId="34" fillId="0" borderId="4" xfId="5" applyNumberFormat="1" applyFont="1" applyBorder="1" applyAlignment="1" applyProtection="1">
      <alignment horizontal="center" vertical="top" wrapText="1"/>
      <protection locked="0" hidden="1"/>
    </xf>
    <xf numFmtId="49" fontId="34" fillId="0" borderId="3" xfId="5" applyNumberFormat="1" applyFont="1" applyBorder="1" applyAlignment="1" applyProtection="1">
      <alignment horizontal="center" vertical="top" wrapText="1"/>
      <protection locked="0" hidden="1"/>
    </xf>
    <xf numFmtId="0" fontId="34" fillId="0" borderId="4" xfId="5" applyFont="1" applyBorder="1" applyAlignment="1" applyProtection="1">
      <alignment horizontal="left" vertical="center" wrapText="1"/>
      <protection hidden="1"/>
    </xf>
    <xf numFmtId="0" fontId="34" fillId="0" borderId="2" xfId="5" applyFont="1" applyBorder="1" applyAlignment="1" applyProtection="1">
      <alignment horizontal="left" vertical="center"/>
      <protection hidden="1"/>
    </xf>
    <xf numFmtId="0" fontId="34" fillId="0" borderId="4" xfId="5" applyFont="1" applyBorder="1" applyAlignment="1" applyProtection="1">
      <alignment horizontal="left" vertical="center"/>
      <protection hidden="1"/>
    </xf>
    <xf numFmtId="0" fontId="34" fillId="0" borderId="3" xfId="5" applyFont="1" applyBorder="1" applyAlignment="1" applyProtection="1">
      <alignment horizontal="left" vertical="center"/>
      <protection hidden="1"/>
    </xf>
    <xf numFmtId="0" fontId="55" fillId="0" borderId="2" xfId="0" applyFont="1" applyBorder="1" applyAlignment="1" applyProtection="1">
      <alignment horizontal="center" vertical="center"/>
      <protection locked="0" hidden="1"/>
    </xf>
    <xf numFmtId="0" fontId="55" fillId="0" borderId="3" xfId="0" applyFont="1" applyBorder="1" applyAlignment="1" applyProtection="1">
      <alignment horizontal="center" vertical="center"/>
      <protection locked="0" hidden="1"/>
    </xf>
    <xf numFmtId="0" fontId="55" fillId="0" borderId="3" xfId="0" applyFont="1" applyBorder="1" applyAlignment="1" applyProtection="1">
      <alignment horizontal="center" vertical="center" wrapText="1"/>
      <protection locked="0" hidden="1"/>
    </xf>
    <xf numFmtId="0" fontId="38" fillId="0" borderId="1" xfId="0" applyFont="1" applyBorder="1" applyAlignment="1" applyProtection="1">
      <alignment horizontal="center" vertical="center" wrapText="1"/>
      <protection locked="0" hidden="1"/>
    </xf>
    <xf numFmtId="0" fontId="38" fillId="0" borderId="2" xfId="0" applyFont="1" applyBorder="1" applyAlignment="1" applyProtection="1">
      <alignment horizontal="center" vertical="center" wrapText="1"/>
      <protection locked="0" hidden="1"/>
    </xf>
    <xf numFmtId="0" fontId="39" fillId="0" borderId="4" xfId="8" applyFont="1" applyBorder="1" applyAlignment="1" applyProtection="1">
      <alignment horizontal="center"/>
      <protection hidden="1"/>
    </xf>
    <xf numFmtId="0" fontId="34" fillId="0" borderId="4" xfId="5" applyFont="1" applyBorder="1" applyAlignment="1" applyProtection="1">
      <alignment horizontal="left"/>
      <protection hidden="1"/>
    </xf>
    <xf numFmtId="0" fontId="34" fillId="0" borderId="2" xfId="5" applyFont="1" applyBorder="1" applyAlignment="1" applyProtection="1">
      <alignment horizontal="center"/>
      <protection hidden="1"/>
    </xf>
    <xf numFmtId="0" fontId="34" fillId="0" borderId="4" xfId="5" applyFont="1" applyBorder="1" applyAlignment="1" applyProtection="1">
      <alignment horizontal="center"/>
      <protection hidden="1"/>
    </xf>
    <xf numFmtId="0" fontId="34" fillId="0" borderId="3" xfId="5" applyFont="1" applyBorder="1" applyAlignment="1" applyProtection="1">
      <alignment horizontal="center"/>
      <protection hidden="1"/>
    </xf>
    <xf numFmtId="49" fontId="34" fillId="0" borderId="1" xfId="5" applyNumberFormat="1" applyFont="1" applyBorder="1" applyAlignment="1" applyProtection="1">
      <alignment horizontal="center" vertical="top" wrapText="1"/>
      <protection locked="0" hidden="1"/>
    </xf>
    <xf numFmtId="0" fontId="34" fillId="0" borderId="7" xfId="5" applyFont="1" applyBorder="1" applyAlignment="1" applyProtection="1">
      <alignment horizontal="center" vertical="center"/>
      <protection hidden="1"/>
    </xf>
    <xf numFmtId="0" fontId="34" fillId="0" borderId="26" xfId="5" applyFont="1" applyBorder="1" applyAlignment="1" applyProtection="1">
      <alignment horizontal="center" vertical="center"/>
      <protection hidden="1"/>
    </xf>
    <xf numFmtId="0" fontId="34" fillId="0" borderId="8" xfId="5" applyFont="1" applyBorder="1" applyAlignment="1" applyProtection="1">
      <alignment horizontal="center" vertical="center"/>
      <protection hidden="1"/>
    </xf>
    <xf numFmtId="0" fontId="34" fillId="0" borderId="11" xfId="5" applyFont="1" applyBorder="1" applyAlignment="1" applyProtection="1">
      <alignment horizontal="center" vertical="center"/>
      <protection hidden="1"/>
    </xf>
    <xf numFmtId="0" fontId="34" fillId="0" borderId="25" xfId="5" applyFont="1" applyBorder="1" applyAlignment="1" applyProtection="1">
      <alignment horizontal="center" vertical="center"/>
      <protection hidden="1"/>
    </xf>
    <xf numFmtId="0" fontId="34" fillId="0" borderId="12" xfId="5" applyFont="1" applyBorder="1" applyAlignment="1" applyProtection="1">
      <alignment horizontal="center" vertical="center"/>
      <protection hidden="1"/>
    </xf>
    <xf numFmtId="0" fontId="39" fillId="0" borderId="2" xfId="8" applyFont="1" applyBorder="1" applyAlignment="1" applyProtection="1">
      <alignment horizontal="center" vertical="center"/>
      <protection hidden="1"/>
    </xf>
    <xf numFmtId="0" fontId="39" fillId="0" borderId="4" xfId="8" applyFont="1" applyBorder="1" applyAlignment="1" applyProtection="1">
      <alignment horizontal="center" vertical="center"/>
      <protection hidden="1"/>
    </xf>
    <xf numFmtId="0" fontId="39" fillId="0" borderId="3" xfId="8" applyFont="1" applyBorder="1" applyAlignment="1" applyProtection="1">
      <alignment horizontal="center" vertical="center"/>
      <protection hidden="1"/>
    </xf>
    <xf numFmtId="0" fontId="34" fillId="0" borderId="2" xfId="5" applyFont="1" applyBorder="1" applyAlignment="1" applyProtection="1">
      <alignment horizontal="center" vertical="center" wrapText="1"/>
      <protection hidden="1"/>
    </xf>
    <xf numFmtId="0" fontId="34" fillId="0" borderId="4" xfId="5" applyFont="1" applyBorder="1" applyAlignment="1" applyProtection="1">
      <alignment horizontal="center" vertical="center" wrapText="1"/>
      <protection hidden="1"/>
    </xf>
    <xf numFmtId="0" fontId="34" fillId="0" borderId="3" xfId="5" applyFont="1" applyBorder="1" applyAlignment="1" applyProtection="1">
      <alignment horizontal="center" vertical="center" wrapText="1"/>
      <protection hidden="1"/>
    </xf>
    <xf numFmtId="0" fontId="34" fillId="0" borderId="7" xfId="5" applyFont="1" applyBorder="1" applyAlignment="1" applyProtection="1">
      <alignment horizontal="center" vertical="center" wrapText="1"/>
      <protection hidden="1"/>
    </xf>
    <xf numFmtId="0" fontId="34" fillId="0" borderId="26" xfId="5" applyFont="1" applyBorder="1" applyAlignment="1" applyProtection="1">
      <alignment horizontal="center" vertical="center" wrapText="1"/>
      <protection hidden="1"/>
    </xf>
    <xf numFmtId="0" fontId="34" fillId="0" borderId="8" xfId="5" applyFont="1" applyBorder="1" applyAlignment="1" applyProtection="1">
      <alignment horizontal="center" vertical="center" wrapText="1"/>
      <protection hidden="1"/>
    </xf>
    <xf numFmtId="0" fontId="34" fillId="0" borderId="9" xfId="5" applyFont="1" applyBorder="1" applyAlignment="1" applyProtection="1">
      <alignment horizontal="center" vertical="center" wrapText="1"/>
      <protection hidden="1"/>
    </xf>
    <xf numFmtId="0" fontId="34" fillId="0" borderId="0" xfId="5" applyFont="1" applyBorder="1" applyAlignment="1" applyProtection="1">
      <alignment horizontal="center" vertical="center" wrapText="1"/>
      <protection hidden="1"/>
    </xf>
    <xf numFmtId="0" fontId="34" fillId="0" borderId="6" xfId="5" applyFont="1" applyBorder="1" applyAlignment="1" applyProtection="1">
      <alignment horizontal="center" vertical="center" wrapText="1"/>
      <protection hidden="1"/>
    </xf>
    <xf numFmtId="167" fontId="34" fillId="0" borderId="1" xfId="5" applyNumberFormat="1" applyFont="1" applyBorder="1" applyAlignment="1" applyProtection="1">
      <alignment horizontal="center" vertical="center"/>
      <protection hidden="1"/>
    </xf>
    <xf numFmtId="167" fontId="40" fillId="0" borderId="2" xfId="5" applyNumberFormat="1" applyFont="1" applyBorder="1" applyAlignment="1" applyProtection="1">
      <alignment horizontal="center" vertical="center"/>
      <protection hidden="1"/>
    </xf>
    <xf numFmtId="167" fontId="40" fillId="0" borderId="4" xfId="5" applyNumberFormat="1" applyFont="1" applyBorder="1" applyAlignment="1" applyProtection="1">
      <alignment horizontal="center" vertical="center"/>
      <protection hidden="1"/>
    </xf>
    <xf numFmtId="49" fontId="59" fillId="0" borderId="0" xfId="8" applyNumberFormat="1" applyFont="1" applyBorder="1" applyAlignment="1" applyProtection="1">
      <alignment horizontal="left" vertical="top" wrapText="1"/>
      <protection locked="0" hidden="1"/>
    </xf>
    <xf numFmtId="0" fontId="39" fillId="0" borderId="1" xfId="0" applyFont="1" applyBorder="1" applyAlignment="1" applyProtection="1">
      <alignment horizontal="center"/>
      <protection hidden="1"/>
    </xf>
    <xf numFmtId="0" fontId="34" fillId="0" borderId="2" xfId="5" applyFont="1" applyBorder="1" applyAlignment="1" applyProtection="1">
      <alignment horizontal="center" vertical="top"/>
      <protection hidden="1"/>
    </xf>
    <xf numFmtId="0" fontId="34" fillId="0" borderId="4" xfId="5" applyFont="1" applyBorder="1" applyAlignment="1" applyProtection="1">
      <alignment horizontal="center" vertical="top"/>
      <protection hidden="1"/>
    </xf>
    <xf numFmtId="0" fontId="34" fillId="0" borderId="3" xfId="5" applyFont="1" applyBorder="1" applyAlignment="1" applyProtection="1">
      <alignment horizontal="center" vertical="top"/>
      <protection hidden="1"/>
    </xf>
    <xf numFmtId="0" fontId="34" fillId="0" borderId="1" xfId="5" applyFont="1" applyBorder="1" applyAlignment="1" applyProtection="1">
      <alignment horizontal="left" vertical="center"/>
      <protection hidden="1"/>
    </xf>
    <xf numFmtId="0" fontId="34" fillId="0" borderId="1" xfId="5" applyNumberFormat="1" applyFont="1" applyBorder="1" applyAlignment="1" applyProtection="1">
      <alignment horizontal="center" vertical="top"/>
      <protection locked="0" hidden="1"/>
    </xf>
    <xf numFmtId="0" fontId="32" fillId="0" borderId="1" xfId="5" applyFont="1" applyBorder="1" applyAlignment="1" applyProtection="1">
      <alignment horizontal="left" vertical="center" wrapText="1"/>
      <protection hidden="1"/>
    </xf>
    <xf numFmtId="49" fontId="34" fillId="0" borderId="2" xfId="5" applyNumberFormat="1" applyFont="1" applyBorder="1" applyAlignment="1" applyProtection="1">
      <alignment horizontal="left" vertical="top" wrapText="1"/>
      <protection locked="0" hidden="1"/>
    </xf>
    <xf numFmtId="49" fontId="34" fillId="0" borderId="4" xfId="5" applyNumberFormat="1" applyFont="1" applyBorder="1" applyAlignment="1" applyProtection="1">
      <alignment horizontal="left" vertical="top" wrapText="1"/>
      <protection locked="0" hidden="1"/>
    </xf>
    <xf numFmtId="49" fontId="34" fillId="0" borderId="3" xfId="5" applyNumberFormat="1" applyFont="1" applyBorder="1" applyAlignment="1" applyProtection="1">
      <alignment horizontal="left" vertical="top" wrapText="1"/>
      <protection locked="0" hidden="1"/>
    </xf>
    <xf numFmtId="2" fontId="34" fillId="2" borderId="2" xfId="5" applyNumberFormat="1" applyFont="1" applyFill="1" applyBorder="1" applyAlignment="1" applyProtection="1">
      <alignment horizontal="center" vertical="center" wrapText="1"/>
      <protection locked="0" hidden="1"/>
    </xf>
    <xf numFmtId="2" fontId="34" fillId="2" borderId="4" xfId="5" applyNumberFormat="1" applyFont="1" applyFill="1" applyBorder="1" applyAlignment="1" applyProtection="1">
      <alignment horizontal="center" vertical="center" wrapText="1"/>
      <protection locked="0" hidden="1"/>
    </xf>
    <xf numFmtId="2" fontId="34" fillId="2" borderId="3" xfId="5" applyNumberFormat="1" applyFont="1" applyFill="1" applyBorder="1" applyAlignment="1" applyProtection="1">
      <alignment horizontal="center" vertical="center" wrapText="1"/>
      <protection locked="0" hidden="1"/>
    </xf>
    <xf numFmtId="0" fontId="34" fillId="0" borderId="7" xfId="5" applyFont="1" applyBorder="1" applyAlignment="1" applyProtection="1">
      <alignment horizontal="left" vertical="top" wrapText="1"/>
      <protection hidden="1"/>
    </xf>
    <xf numFmtId="0" fontId="34" fillId="0" borderId="26" xfId="5" applyFont="1" applyBorder="1" applyAlignment="1" applyProtection="1">
      <alignment horizontal="left" vertical="top" wrapText="1"/>
      <protection hidden="1"/>
    </xf>
    <xf numFmtId="0" fontId="34" fillId="0" borderId="8" xfId="5" applyFont="1" applyBorder="1" applyAlignment="1" applyProtection="1">
      <alignment horizontal="left" vertical="top" wrapText="1"/>
      <protection hidden="1"/>
    </xf>
    <xf numFmtId="0" fontId="34" fillId="0" borderId="11" xfId="5" applyFont="1" applyBorder="1" applyAlignment="1" applyProtection="1">
      <alignment horizontal="left" vertical="top" wrapText="1"/>
      <protection hidden="1"/>
    </xf>
    <xf numFmtId="0" fontId="34" fillId="0" borderId="25" xfId="5" applyFont="1" applyBorder="1" applyAlignment="1" applyProtection="1">
      <alignment horizontal="left" vertical="top" wrapText="1"/>
      <protection hidden="1"/>
    </xf>
    <xf numFmtId="0" fontId="34" fillId="0" borderId="12" xfId="5" applyFont="1" applyBorder="1" applyAlignment="1" applyProtection="1">
      <alignment horizontal="left" vertical="top" wrapText="1"/>
      <protection hidden="1"/>
    </xf>
    <xf numFmtId="0" fontId="34" fillId="0" borderId="28" xfId="5" applyFont="1" applyBorder="1" applyAlignment="1" applyProtection="1">
      <alignment horizontal="center" vertical="top"/>
      <protection hidden="1"/>
    </xf>
    <xf numFmtId="0" fontId="34" fillId="0" borderId="10" xfId="5" applyFont="1" applyBorder="1" applyAlignment="1" applyProtection="1">
      <alignment horizontal="center" vertical="top"/>
      <protection hidden="1"/>
    </xf>
    <xf numFmtId="0" fontId="34" fillId="0" borderId="11" xfId="5" applyFont="1" applyBorder="1" applyAlignment="1" applyProtection="1">
      <alignment horizontal="center" vertical="center" wrapText="1"/>
      <protection hidden="1"/>
    </xf>
    <xf numFmtId="0" fontId="34" fillId="0" borderId="25" xfId="5" applyFont="1" applyBorder="1" applyAlignment="1" applyProtection="1">
      <alignment horizontal="center" vertical="center" wrapText="1"/>
      <protection hidden="1"/>
    </xf>
    <xf numFmtId="0" fontId="34" fillId="0" borderId="12" xfId="5" applyFont="1" applyBorder="1" applyAlignment="1" applyProtection="1">
      <alignment horizontal="center" vertical="center" wrapText="1"/>
      <protection hidden="1"/>
    </xf>
    <xf numFmtId="0" fontId="39" fillId="0" borderId="2" xfId="0" applyFont="1" applyFill="1" applyBorder="1" applyAlignment="1" applyProtection="1">
      <alignment horizontal="center" vertical="center"/>
      <protection hidden="1"/>
    </xf>
    <xf numFmtId="0" fontId="39" fillId="0" borderId="4" xfId="0" applyFont="1" applyFill="1" applyBorder="1" applyAlignment="1" applyProtection="1">
      <alignment horizontal="center" vertical="center"/>
      <protection hidden="1"/>
    </xf>
    <xf numFmtId="0" fontId="39" fillId="0" borderId="3" xfId="0" applyFont="1" applyFill="1" applyBorder="1" applyAlignment="1" applyProtection="1">
      <alignment horizontal="center" vertical="center"/>
      <protection hidden="1"/>
    </xf>
    <xf numFmtId="0" fontId="40" fillId="0" borderId="7" xfId="5" applyFont="1" applyBorder="1" applyAlignment="1" applyProtection="1">
      <alignment horizontal="center" vertical="center"/>
      <protection locked="0" hidden="1"/>
    </xf>
    <xf numFmtId="0" fontId="40" fillId="0" borderId="26" xfId="5" applyFont="1" applyBorder="1" applyAlignment="1" applyProtection="1">
      <alignment horizontal="center" vertical="center"/>
      <protection locked="0" hidden="1"/>
    </xf>
    <xf numFmtId="0" fontId="40" fillId="0" borderId="8" xfId="5" applyFont="1" applyBorder="1" applyAlignment="1" applyProtection="1">
      <alignment horizontal="center" vertical="center"/>
      <protection locked="0" hidden="1"/>
    </xf>
    <xf numFmtId="0" fontId="40" fillId="0" borderId="11" xfId="5" applyFont="1" applyBorder="1" applyAlignment="1" applyProtection="1">
      <alignment horizontal="center" vertical="center"/>
      <protection locked="0" hidden="1"/>
    </xf>
    <xf numFmtId="0" fontId="40" fillId="0" borderId="25" xfId="5" applyFont="1" applyBorder="1" applyAlignment="1" applyProtection="1">
      <alignment horizontal="center" vertical="center"/>
      <protection locked="0" hidden="1"/>
    </xf>
    <xf numFmtId="0" fontId="40" fillId="0" borderId="12" xfId="5" applyFont="1" applyBorder="1" applyAlignment="1" applyProtection="1">
      <alignment horizontal="center" vertical="center"/>
      <protection locked="0" hidden="1"/>
    </xf>
    <xf numFmtId="0" fontId="36" fillId="0" borderId="2" xfId="5" applyFont="1" applyBorder="1" applyAlignment="1" applyProtection="1">
      <alignment horizontal="center" vertical="top" wrapText="1"/>
      <protection hidden="1"/>
    </xf>
    <xf numFmtId="0" fontId="36" fillId="0" borderId="4" xfId="5" applyFont="1" applyBorder="1" applyAlignment="1" applyProtection="1">
      <alignment horizontal="center" vertical="top" wrapText="1"/>
      <protection hidden="1"/>
    </xf>
    <xf numFmtId="9" fontId="57" fillId="0" borderId="2" xfId="4" applyFont="1" applyBorder="1" applyAlignment="1" applyProtection="1">
      <alignment horizontal="center" vertical="center"/>
      <protection hidden="1"/>
    </xf>
    <xf numFmtId="9" fontId="57" fillId="0" borderId="3" xfId="4" applyFont="1" applyBorder="1" applyAlignment="1" applyProtection="1">
      <alignment horizontal="center" vertical="center"/>
      <protection hidden="1"/>
    </xf>
    <xf numFmtId="49" fontId="34" fillId="0" borderId="2" xfId="5" applyNumberFormat="1" applyFont="1" applyBorder="1" applyAlignment="1" applyProtection="1">
      <alignment horizontal="center" vertical="center"/>
      <protection hidden="1"/>
    </xf>
    <xf numFmtId="49" fontId="34" fillId="0" borderId="4" xfId="5" applyNumberFormat="1" applyFont="1" applyBorder="1" applyAlignment="1" applyProtection="1">
      <alignment horizontal="center" vertical="center"/>
      <protection hidden="1"/>
    </xf>
    <xf numFmtId="49" fontId="34" fillId="0" borderId="3" xfId="5" applyNumberFormat="1" applyFont="1" applyBorder="1" applyAlignment="1" applyProtection="1">
      <alignment horizontal="center" vertical="center"/>
      <protection hidden="1"/>
    </xf>
    <xf numFmtId="0" fontId="34" fillId="0" borderId="2" xfId="5" applyFont="1" applyFill="1" applyBorder="1" applyAlignment="1" applyProtection="1">
      <alignment horizontal="center" vertical="center" wrapText="1"/>
      <protection hidden="1"/>
    </xf>
    <xf numFmtId="0" fontId="34" fillId="0" borderId="4" xfId="5" applyFont="1" applyFill="1" applyBorder="1" applyAlignment="1" applyProtection="1">
      <alignment horizontal="center" vertical="center" wrapText="1"/>
      <protection hidden="1"/>
    </xf>
    <xf numFmtId="0" fontId="34" fillId="0" borderId="3" xfId="5" applyFont="1" applyFill="1" applyBorder="1" applyAlignment="1" applyProtection="1">
      <alignment horizontal="center" vertical="center" wrapText="1"/>
      <protection hidden="1"/>
    </xf>
    <xf numFmtId="170" fontId="31" fillId="0" borderId="0" xfId="8" applyNumberFormat="1" applyFont="1" applyBorder="1" applyAlignment="1" applyProtection="1">
      <alignment horizontal="center"/>
      <protection hidden="1"/>
    </xf>
    <xf numFmtId="0" fontId="38" fillId="0" borderId="0" xfId="8" applyFont="1" applyAlignment="1" applyProtection="1">
      <alignment horizontal="center" vertical="top"/>
      <protection hidden="1"/>
    </xf>
    <xf numFmtId="0" fontId="53" fillId="0" borderId="0" xfId="5" applyFont="1" applyAlignment="1" applyProtection="1">
      <alignment horizontal="left" wrapText="1"/>
      <protection hidden="1"/>
    </xf>
    <xf numFmtId="0" fontId="52" fillId="0" borderId="2" xfId="0" applyFont="1" applyBorder="1" applyAlignment="1" applyProtection="1">
      <alignment horizontal="center"/>
      <protection hidden="1"/>
    </xf>
    <xf numFmtId="0" fontId="52" fillId="0" borderId="3" xfId="0" applyFont="1" applyBorder="1" applyAlignment="1" applyProtection="1">
      <alignment horizontal="center"/>
      <protection hidden="1"/>
    </xf>
    <xf numFmtId="49" fontId="34" fillId="3" borderId="2" xfId="5" applyNumberFormat="1" applyFont="1" applyFill="1" applyBorder="1" applyAlignment="1" applyProtection="1">
      <alignment horizontal="left" vertical="top"/>
      <protection hidden="1"/>
    </xf>
    <xf numFmtId="49" fontId="34" fillId="3" borderId="4" xfId="5" applyNumberFormat="1" applyFont="1" applyFill="1" applyBorder="1" applyAlignment="1" applyProtection="1">
      <alignment horizontal="left" vertical="top"/>
      <protection hidden="1"/>
    </xf>
    <xf numFmtId="49" fontId="34" fillId="3" borderId="3" xfId="5" applyNumberFormat="1" applyFont="1" applyFill="1" applyBorder="1" applyAlignment="1" applyProtection="1">
      <alignment horizontal="left" vertical="top"/>
      <protection hidden="1"/>
    </xf>
    <xf numFmtId="0" fontId="34" fillId="0" borderId="4" xfId="5" applyFont="1" applyBorder="1" applyAlignment="1" applyProtection="1">
      <alignment horizontal="left" vertical="top" wrapText="1"/>
      <protection hidden="1"/>
    </xf>
    <xf numFmtId="0" fontId="34" fillId="0" borderId="2" xfId="5" applyFont="1" applyBorder="1" applyAlignment="1" applyProtection="1">
      <alignment horizontal="center" vertical="top" wrapText="1"/>
      <protection hidden="1"/>
    </xf>
    <xf numFmtId="0" fontId="34" fillId="0" borderId="4" xfId="5" applyFont="1" applyBorder="1" applyAlignment="1" applyProtection="1">
      <alignment horizontal="center" vertical="top" wrapText="1"/>
      <protection hidden="1"/>
    </xf>
    <xf numFmtId="0" fontId="34" fillId="0" borderId="3" xfId="5" applyFont="1" applyBorder="1" applyAlignment="1" applyProtection="1">
      <alignment horizontal="center" vertical="top" wrapText="1"/>
      <protection hidden="1"/>
    </xf>
    <xf numFmtId="0" fontId="34" fillId="0" borderId="9" xfId="5" applyFont="1" applyBorder="1" applyAlignment="1" applyProtection="1">
      <alignment horizontal="left" vertical="top" wrapText="1"/>
      <protection hidden="1"/>
    </xf>
    <xf numFmtId="0" fontId="34" fillId="0" borderId="0" xfId="5" applyFont="1" applyBorder="1" applyAlignment="1" applyProtection="1">
      <alignment horizontal="left" vertical="top" wrapText="1"/>
      <protection hidden="1"/>
    </xf>
    <xf numFmtId="0" fontId="34" fillId="0" borderId="6" xfId="5" applyFont="1" applyBorder="1" applyAlignment="1" applyProtection="1">
      <alignment horizontal="left" vertical="top" wrapText="1"/>
      <protection hidden="1"/>
    </xf>
    <xf numFmtId="2" fontId="34" fillId="2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39" fillId="0" borderId="2" xfId="0" applyFont="1" applyBorder="1" applyAlignment="1" applyProtection="1">
      <alignment horizontal="center"/>
      <protection hidden="1"/>
    </xf>
    <xf numFmtId="0" fontId="39" fillId="0" borderId="4" xfId="0" applyFont="1" applyBorder="1" applyAlignment="1" applyProtection="1">
      <alignment horizontal="center"/>
      <protection hidden="1"/>
    </xf>
    <xf numFmtId="0" fontId="39" fillId="0" borderId="3" xfId="0" applyFont="1" applyBorder="1" applyAlignment="1" applyProtection="1">
      <alignment horizontal="center"/>
      <protection hidden="1"/>
    </xf>
    <xf numFmtId="0" fontId="55" fillId="0" borderId="1" xfId="0" applyFont="1" applyBorder="1" applyAlignment="1" applyProtection="1">
      <alignment horizontal="center"/>
      <protection locked="0" hidden="1"/>
    </xf>
    <xf numFmtId="4" fontId="39" fillId="0" borderId="1" xfId="0" applyNumberFormat="1" applyFont="1" applyBorder="1" applyAlignment="1" applyProtection="1">
      <alignment horizontal="center"/>
      <protection hidden="1"/>
    </xf>
    <xf numFmtId="0" fontId="36" fillId="0" borderId="2" xfId="5" applyFont="1" applyBorder="1" applyAlignment="1" applyProtection="1">
      <alignment horizontal="center" vertical="center" wrapText="1"/>
      <protection locked="0" hidden="1"/>
    </xf>
    <xf numFmtId="0" fontId="36" fillId="0" borderId="4" xfId="5" applyFont="1" applyBorder="1" applyAlignment="1" applyProtection="1">
      <alignment horizontal="center" vertical="center" wrapText="1"/>
      <protection locked="0" hidden="1"/>
    </xf>
    <xf numFmtId="0" fontId="36" fillId="0" borderId="3" xfId="5" applyFont="1" applyBorder="1" applyAlignment="1" applyProtection="1">
      <alignment horizontal="center" vertical="center" wrapText="1"/>
      <protection locked="0" hidden="1"/>
    </xf>
    <xf numFmtId="0" fontId="58" fillId="0" borderId="0" xfId="0" applyFont="1" applyFill="1" applyAlignment="1" applyProtection="1">
      <alignment horizontal="center" wrapText="1"/>
      <protection hidden="1"/>
    </xf>
    <xf numFmtId="0" fontId="34" fillId="0" borderId="0" xfId="5" applyFont="1" applyAlignment="1" applyProtection="1">
      <alignment horizontal="center" wrapText="1"/>
      <protection hidden="1"/>
    </xf>
    <xf numFmtId="49" fontId="34" fillId="0" borderId="0" xfId="5" applyNumberFormat="1" applyFont="1" applyFill="1" applyBorder="1" applyAlignment="1" applyProtection="1">
      <alignment horizontal="left" vertical="top" wrapText="1"/>
      <protection locked="0" hidden="1"/>
    </xf>
    <xf numFmtId="0" fontId="34" fillId="0" borderId="1" xfId="5" applyFont="1" applyBorder="1" applyAlignment="1" applyProtection="1">
      <alignment horizontal="left" vertical="top"/>
      <protection hidden="1"/>
    </xf>
    <xf numFmtId="0" fontId="36" fillId="0" borderId="1" xfId="5" applyFont="1" applyBorder="1" applyAlignment="1" applyProtection="1">
      <alignment horizontal="center" vertical="top"/>
      <protection hidden="1"/>
    </xf>
    <xf numFmtId="0" fontId="52" fillId="0" borderId="1" xfId="0" applyFont="1" applyBorder="1" applyAlignment="1" applyProtection="1">
      <alignment horizontal="center"/>
      <protection locked="0" hidden="1"/>
    </xf>
    <xf numFmtId="0" fontId="34" fillId="0" borderId="0" xfId="5" applyFont="1" applyBorder="1" applyAlignment="1" applyProtection="1">
      <alignment horizontal="center" vertical="top"/>
      <protection hidden="1"/>
    </xf>
    <xf numFmtId="0" fontId="34" fillId="0" borderId="1" xfId="5" applyFont="1" applyFill="1" applyBorder="1" applyAlignment="1" applyProtection="1">
      <alignment horizontal="left" vertical="top"/>
      <protection hidden="1"/>
    </xf>
    <xf numFmtId="0" fontId="36" fillId="0" borderId="1" xfId="5" applyFont="1" applyFill="1" applyBorder="1" applyAlignment="1" applyProtection="1">
      <alignment horizontal="center" vertical="top"/>
      <protection hidden="1"/>
    </xf>
    <xf numFmtId="49" fontId="52" fillId="0" borderId="1" xfId="0" applyNumberFormat="1" applyFont="1" applyBorder="1" applyAlignment="1" applyProtection="1">
      <alignment horizontal="center"/>
      <protection locked="0" hidden="1"/>
    </xf>
    <xf numFmtId="49" fontId="59" fillId="0" borderId="0" xfId="8" applyNumberFormat="1" applyFont="1" applyFill="1" applyBorder="1" applyAlignment="1" applyProtection="1">
      <alignment horizontal="left" vertical="top" wrapText="1"/>
      <protection locked="0" hidden="1"/>
    </xf>
    <xf numFmtId="0" fontId="36" fillId="0" borderId="1" xfId="5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/>
      <protection hidden="1"/>
    </xf>
    <xf numFmtId="171" fontId="34" fillId="0" borderId="1" xfId="5" applyNumberFormat="1" applyFont="1" applyBorder="1" applyAlignment="1" applyProtection="1">
      <alignment horizontal="center" vertical="top"/>
      <protection locked="0" hidden="1"/>
    </xf>
    <xf numFmtId="0" fontId="10" fillId="0" borderId="0" xfId="5" applyFont="1" applyBorder="1" applyAlignment="1" applyProtection="1">
      <alignment horizontal="left" vertical="top" wrapText="1"/>
      <protection hidden="1"/>
    </xf>
    <xf numFmtId="0" fontId="34" fillId="0" borderId="1" xfId="5" applyFont="1" applyBorder="1" applyAlignment="1" applyProtection="1">
      <alignment horizontal="left" vertical="top" wrapText="1"/>
      <protection hidden="1"/>
    </xf>
    <xf numFmtId="171" fontId="34" fillId="0" borderId="1" xfId="5" applyNumberFormat="1" applyFont="1" applyBorder="1" applyAlignment="1" applyProtection="1">
      <alignment horizontal="center" vertical="top"/>
      <protection hidden="1"/>
    </xf>
    <xf numFmtId="0" fontId="34" fillId="0" borderId="1" xfId="5" applyFont="1" applyBorder="1" applyAlignment="1" applyProtection="1">
      <alignment horizontal="center" vertical="top"/>
      <protection hidden="1"/>
    </xf>
    <xf numFmtId="0" fontId="34" fillId="0" borderId="1" xfId="5" applyFont="1" applyBorder="1" applyAlignment="1" applyProtection="1">
      <alignment horizontal="center" vertical="top"/>
      <protection locked="0" hidden="1"/>
    </xf>
    <xf numFmtId="0" fontId="39" fillId="0" borderId="1" xfId="0" applyFont="1" applyBorder="1" applyAlignment="1" applyProtection="1">
      <alignment horizontal="center" vertical="center"/>
      <protection locked="0" hidden="1"/>
    </xf>
    <xf numFmtId="0" fontId="39" fillId="0" borderId="1" xfId="0" applyFont="1" applyBorder="1" applyAlignment="1" applyProtection="1">
      <alignment horizontal="center" vertical="center" wrapText="1"/>
      <protection locked="0" hidden="1"/>
    </xf>
    <xf numFmtId="0" fontId="10" fillId="0" borderId="0" xfId="5" applyFont="1" applyBorder="1" applyAlignment="1" applyProtection="1">
      <alignment horizontal="left"/>
      <protection hidden="1"/>
    </xf>
    <xf numFmtId="0" fontId="34" fillId="0" borderId="1" xfId="5" applyFont="1" applyBorder="1" applyAlignment="1" applyProtection="1">
      <alignment horizontal="left" vertical="center" wrapText="1"/>
      <protection hidden="1"/>
    </xf>
    <xf numFmtId="0" fontId="38" fillId="0" borderId="4" xfId="0" applyFont="1" applyBorder="1" applyAlignment="1" applyProtection="1">
      <alignment horizontal="center" vertical="center" wrapText="1"/>
      <protection locked="0" hidden="1"/>
    </xf>
    <xf numFmtId="0" fontId="38" fillId="0" borderId="3" xfId="0" applyFont="1" applyBorder="1" applyAlignment="1" applyProtection="1">
      <alignment horizontal="center" vertical="center" wrapText="1"/>
      <protection locked="0" hidden="1"/>
    </xf>
    <xf numFmtId="0" fontId="38" fillId="0" borderId="1" xfId="8" applyFont="1" applyBorder="1" applyAlignment="1" applyProtection="1">
      <alignment horizontal="center"/>
      <protection hidden="1"/>
    </xf>
    <xf numFmtId="0" fontId="36" fillId="0" borderId="1" xfId="5" applyFont="1" applyBorder="1" applyAlignment="1" applyProtection="1">
      <alignment horizontal="center"/>
      <protection hidden="1"/>
    </xf>
    <xf numFmtId="167" fontId="40" fillId="0" borderId="1" xfId="5" applyNumberFormat="1" applyFont="1" applyBorder="1" applyAlignment="1" applyProtection="1">
      <alignment horizontal="center" vertical="center"/>
      <protection hidden="1"/>
    </xf>
    <xf numFmtId="0" fontId="32" fillId="0" borderId="1" xfId="5" applyFont="1" applyBorder="1" applyAlignment="1" applyProtection="1">
      <alignment horizontal="center"/>
      <protection hidden="1"/>
    </xf>
    <xf numFmtId="0" fontId="32" fillId="0" borderId="2" xfId="5" applyFont="1" applyBorder="1" applyAlignment="1" applyProtection="1">
      <alignment horizontal="center" wrapText="1"/>
      <protection hidden="1"/>
    </xf>
    <xf numFmtId="0" fontId="32" fillId="0" borderId="4" xfId="5" applyFont="1" applyBorder="1" applyAlignment="1" applyProtection="1">
      <alignment horizontal="center" wrapText="1"/>
      <protection hidden="1"/>
    </xf>
    <xf numFmtId="0" fontId="32" fillId="0" borderId="3" xfId="5" applyFont="1" applyBorder="1" applyAlignment="1" applyProtection="1">
      <alignment horizontal="center" wrapText="1"/>
      <protection hidden="1"/>
    </xf>
    <xf numFmtId="0" fontId="32" fillId="0" borderId="2" xfId="5" applyFont="1" applyBorder="1" applyAlignment="1" applyProtection="1">
      <alignment horizontal="center" vertical="center"/>
      <protection hidden="1"/>
    </xf>
    <xf numFmtId="0" fontId="32" fillId="0" borderId="4" xfId="5" applyFont="1" applyBorder="1" applyAlignment="1" applyProtection="1">
      <alignment horizontal="center" vertical="center"/>
      <protection hidden="1"/>
    </xf>
    <xf numFmtId="0" fontId="32" fillId="0" borderId="3" xfId="5" applyFont="1" applyBorder="1" applyAlignment="1" applyProtection="1">
      <alignment horizontal="center" vertical="center"/>
      <protection hidden="1"/>
    </xf>
    <xf numFmtId="0" fontId="32" fillId="0" borderId="1" xfId="5" applyFont="1" applyBorder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alignment wrapText="1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0" fillId="0" borderId="16" xfId="0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13" xfId="0" applyBorder="1" applyAlignment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0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23" fillId="0" borderId="2" xfId="0" applyFont="1" applyBorder="1" applyAlignment="1" applyProtection="1">
      <alignment horizontal="center"/>
      <protection hidden="1"/>
    </xf>
    <xf numFmtId="0" fontId="0" fillId="0" borderId="3" xfId="0" applyBorder="1" applyAlignment="1"/>
    <xf numFmtId="165" fontId="22" fillId="0" borderId="7" xfId="0" applyNumberFormat="1" applyFont="1" applyBorder="1" applyAlignment="1" applyProtection="1">
      <alignment horizontal="center"/>
      <protection hidden="1"/>
    </xf>
    <xf numFmtId="0" fontId="0" fillId="0" borderId="8" xfId="0" applyBorder="1" applyAlignment="1"/>
    <xf numFmtId="165" fontId="22" fillId="0" borderId="9" xfId="0" applyNumberFormat="1" applyFont="1" applyBorder="1" applyAlignment="1" applyProtection="1">
      <alignment horizontal="center"/>
      <protection hidden="1"/>
    </xf>
    <xf numFmtId="0" fontId="0" fillId="0" borderId="6" xfId="0" applyBorder="1" applyAlignment="1"/>
    <xf numFmtId="0" fontId="0" fillId="0" borderId="21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0" fillId="0" borderId="20" xfId="0" applyBorder="1" applyAlignment="1" applyProtection="1">
      <alignment horizontal="center" vertical="center"/>
      <protection hidden="1"/>
    </xf>
    <xf numFmtId="2" fontId="22" fillId="0" borderId="9" xfId="0" applyNumberFormat="1" applyFont="1" applyBorder="1" applyAlignment="1" applyProtection="1">
      <alignment horizontal="center"/>
      <protection hidden="1"/>
    </xf>
    <xf numFmtId="0" fontId="28" fillId="0" borderId="0" xfId="0" applyFont="1" applyBorder="1" applyAlignment="1" applyProtection="1">
      <protection hidden="1"/>
    </xf>
    <xf numFmtId="165" fontId="28" fillId="0" borderId="0" xfId="0" applyNumberFormat="1" applyFont="1" applyBorder="1" applyAlignment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 applyProtection="1">
      <protection hidden="1"/>
    </xf>
    <xf numFmtId="0" fontId="0" fillId="0" borderId="8" xfId="0" applyBorder="1" applyAlignment="1" applyProtection="1">
      <protection hidden="1"/>
    </xf>
    <xf numFmtId="0" fontId="23" fillId="0" borderId="9" xfId="0" applyFont="1" applyBorder="1" applyAlignment="1" applyProtection="1">
      <protection hidden="1"/>
    </xf>
    <xf numFmtId="0" fontId="0" fillId="0" borderId="6" xfId="0" applyBorder="1" applyAlignment="1" applyProtection="1">
      <protection hidden="1"/>
    </xf>
    <xf numFmtId="165" fontId="22" fillId="0" borderId="11" xfId="0" applyNumberFormat="1" applyFont="1" applyBorder="1" applyAlignment="1" applyProtection="1">
      <alignment horizontal="center"/>
      <protection hidden="1"/>
    </xf>
    <xf numFmtId="0" fontId="0" fillId="0" borderId="12" xfId="0" applyBorder="1" applyAlignment="1"/>
    <xf numFmtId="0" fontId="22" fillId="0" borderId="0" xfId="0" applyFont="1" applyBorder="1" applyAlignment="1" applyProtection="1">
      <alignment horizontal="center"/>
      <protection hidden="1"/>
    </xf>
    <xf numFmtId="0" fontId="23" fillId="0" borderId="11" xfId="0" applyFont="1" applyBorder="1" applyAlignment="1" applyProtection="1">
      <protection hidden="1"/>
    </xf>
    <xf numFmtId="0" fontId="0" fillId="0" borderId="12" xfId="0" applyBorder="1" applyAlignment="1" applyProtection="1">
      <protection hidden="1"/>
    </xf>
    <xf numFmtId="2" fontId="22" fillId="0" borderId="11" xfId="0" applyNumberFormat="1" applyFont="1" applyBorder="1" applyAlignment="1" applyProtection="1">
      <alignment horizontal="center"/>
      <protection hidden="1"/>
    </xf>
    <xf numFmtId="0" fontId="28" fillId="0" borderId="25" xfId="0" applyFont="1" applyBorder="1" applyAlignment="1" applyProtection="1">
      <protection hidden="1"/>
    </xf>
  </cellXfs>
  <cellStyles count="9">
    <cellStyle name="Normalny" xfId="0" builtinId="0"/>
    <cellStyle name="Normalny 2" xfId="1" xr:uid="{00000000-0005-0000-0000-000001000000}"/>
    <cellStyle name="Normalny 2 2" xfId="5" xr:uid="{00000000-0005-0000-0000-000002000000}"/>
    <cellStyle name="Normalny 3" xfId="2" xr:uid="{00000000-0005-0000-0000-000003000000}"/>
    <cellStyle name="Normalny 4" xfId="3" xr:uid="{00000000-0005-0000-0000-000004000000}"/>
    <cellStyle name="Normalny 5" xfId="8" xr:uid="{00000000-0005-0000-0000-000005000000}"/>
    <cellStyle name="Procentowy" xfId="4" builtinId="5"/>
    <cellStyle name="Procentowy 2" xfId="6" xr:uid="{00000000-0005-0000-0000-000007000000}"/>
    <cellStyle name="Procentowy 3" xfId="7" xr:uid="{00000000-0005-0000-0000-000008000000}"/>
  </cellStyles>
  <dxfs count="10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"/>
  <sheetViews>
    <sheetView showGridLines="0" tabSelected="1" zoomScale="85" zoomScaleNormal="85" workbookViewId="0">
      <selection sqref="A1:I2"/>
    </sheetView>
  </sheetViews>
  <sheetFormatPr defaultRowHeight="14.25"/>
  <cols>
    <col min="1" max="1" width="4.125" style="1" customWidth="1"/>
    <col min="2" max="16384" width="9" style="1"/>
  </cols>
  <sheetData>
    <row r="1" spans="1:26">
      <c r="A1" s="302" t="s">
        <v>54</v>
      </c>
      <c r="B1" s="302"/>
      <c r="C1" s="302"/>
      <c r="D1" s="302"/>
      <c r="E1" s="302"/>
      <c r="F1" s="302"/>
      <c r="G1" s="302"/>
      <c r="H1" s="302"/>
      <c r="I1" s="302"/>
    </row>
    <row r="2" spans="1:26" ht="26.25" customHeight="1">
      <c r="A2" s="302"/>
      <c r="B2" s="302"/>
      <c r="C2" s="302"/>
      <c r="D2" s="302"/>
      <c r="E2" s="302"/>
      <c r="F2" s="302"/>
      <c r="G2" s="302"/>
      <c r="H2" s="302"/>
      <c r="I2" s="302"/>
    </row>
    <row r="4" spans="1:26" ht="23.25">
      <c r="A4" s="234">
        <v>1</v>
      </c>
      <c r="B4" s="235" t="s">
        <v>329</v>
      </c>
      <c r="C4" s="235"/>
      <c r="D4" s="235"/>
    </row>
    <row r="5" spans="1:26" ht="23.25">
      <c r="A5" s="234">
        <v>2</v>
      </c>
      <c r="B5" s="235" t="s">
        <v>257</v>
      </c>
      <c r="C5" s="235"/>
      <c r="D5" s="235"/>
    </row>
    <row r="6" spans="1:26" ht="23.25">
      <c r="A6" s="234">
        <v>3</v>
      </c>
      <c r="B6" s="235" t="s">
        <v>330</v>
      </c>
      <c r="C6" s="235"/>
      <c r="D6" s="235"/>
    </row>
    <row r="7" spans="1:26" ht="23.25">
      <c r="A7" s="234">
        <v>4</v>
      </c>
      <c r="B7" s="235" t="s">
        <v>245</v>
      </c>
      <c r="C7" s="235"/>
      <c r="D7" s="235"/>
    </row>
    <row r="8" spans="1:26" ht="22.5" customHeight="1">
      <c r="A8" s="234">
        <v>5</v>
      </c>
      <c r="B8" s="235" t="s">
        <v>256</v>
      </c>
      <c r="C8" s="235"/>
      <c r="D8" s="235"/>
    </row>
    <row r="9" spans="1:26" ht="23.25">
      <c r="A9" s="234">
        <v>6</v>
      </c>
      <c r="B9" s="235" t="s">
        <v>336</v>
      </c>
      <c r="C9" s="235"/>
      <c r="D9" s="235"/>
    </row>
    <row r="10" spans="1:26" ht="23.25">
      <c r="A10" s="234"/>
      <c r="C10" s="235"/>
      <c r="D10" s="235"/>
    </row>
    <row r="11" spans="1:26" ht="36.75" customHeight="1">
      <c r="A11" s="234"/>
      <c r="B11" s="236" t="s">
        <v>331</v>
      </c>
      <c r="C11" s="235"/>
      <c r="D11" s="235"/>
    </row>
    <row r="12" spans="1:26" s="235" customFormat="1" ht="51" customHeight="1">
      <c r="A12" s="234"/>
      <c r="B12" s="301" t="s">
        <v>333</v>
      </c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</row>
    <row r="13" spans="1:26" s="235" customFormat="1" ht="26.25" customHeight="1"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</row>
    <row r="14" spans="1:26" s="235" customFormat="1" ht="83.25" customHeight="1">
      <c r="B14" s="301" t="s">
        <v>334</v>
      </c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</row>
    <row r="15" spans="1:26" s="235" customFormat="1" ht="23.25"/>
    <row r="16" spans="1:26" s="235" customFormat="1" ht="51" customHeight="1">
      <c r="B16" s="301" t="s">
        <v>335</v>
      </c>
      <c r="C16" s="301"/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</row>
    <row r="17" spans="2:26" s="235" customFormat="1" ht="23.25"/>
    <row r="18" spans="2:26" s="235" customFormat="1" ht="73.5" customHeight="1">
      <c r="B18" s="301" t="s">
        <v>332</v>
      </c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</row>
  </sheetData>
  <sheetProtection algorithmName="SHA-512" hashValue="yf2jMyjMpcDgF8Pmvt9M8Hxjv80+JBqPZNTCQkL8Ru4dSEthqmP+oEe9dzERS/9fcilEP+SDYNJgfDNEbeNh/Q==" saltValue="IIu4s5vf9NGL9aNWI+BSTQ==" spinCount="100000" sheet="1" formatRows="0"/>
  <mergeCells count="5">
    <mergeCell ref="B18:Z18"/>
    <mergeCell ref="A1:I2"/>
    <mergeCell ref="B12:Z12"/>
    <mergeCell ref="B14:Z14"/>
    <mergeCell ref="B16:Z16"/>
  </mergeCells>
  <pageMargins left="0.31496062992125984" right="0.11811023622047245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"/>
  <sheetViews>
    <sheetView topLeftCell="A34" zoomScaleNormal="100" workbookViewId="0">
      <selection activeCell="H39" sqref="H39"/>
    </sheetView>
  </sheetViews>
  <sheetFormatPr defaultRowHeight="14.25"/>
  <cols>
    <col min="1" max="1" width="10.875" customWidth="1"/>
    <col min="2" max="2" width="11.25" customWidth="1"/>
    <col min="3" max="4" width="15" customWidth="1"/>
    <col min="5" max="5" width="14.375" customWidth="1"/>
    <col min="6" max="6" width="11.125" customWidth="1"/>
    <col min="8" max="8" width="17.625" customWidth="1"/>
    <col min="9" max="9" width="18.25" customWidth="1"/>
  </cols>
  <sheetData>
    <row r="1" spans="1:6" ht="15">
      <c r="A1" s="313" t="s">
        <v>183</v>
      </c>
      <c r="B1" s="313"/>
      <c r="C1" s="313"/>
      <c r="D1" s="313"/>
      <c r="E1" s="313"/>
      <c r="F1" s="313"/>
    </row>
    <row r="2" spans="1:6" ht="17.25">
      <c r="A2" s="314" t="s">
        <v>216</v>
      </c>
      <c r="B2" s="314"/>
      <c r="C2" s="314"/>
      <c r="D2" s="314"/>
      <c r="E2" s="314"/>
      <c r="F2" s="314"/>
    </row>
    <row r="3" spans="1:6" ht="15">
      <c r="A3" s="314" t="s">
        <v>184</v>
      </c>
      <c r="B3" s="314"/>
      <c r="C3" s="314"/>
      <c r="D3" s="314"/>
      <c r="E3" s="314"/>
      <c r="F3" s="314"/>
    </row>
    <row r="4" spans="1:6" ht="5.25" customHeight="1">
      <c r="A4" s="82"/>
      <c r="B4" s="82"/>
      <c r="C4" s="82"/>
      <c r="D4" s="82"/>
      <c r="E4" s="82"/>
      <c r="F4" s="82"/>
    </row>
    <row r="5" spans="1:6" ht="30" customHeight="1">
      <c r="A5" s="315" t="e">
        <f>IF(#REF!&gt;0,#REF!,"")</f>
        <v>#REF!</v>
      </c>
      <c r="B5" s="315"/>
      <c r="C5" s="315"/>
      <c r="D5" s="315"/>
      <c r="E5" s="315"/>
      <c r="F5" s="315"/>
    </row>
    <row r="6" spans="1:6">
      <c r="A6" s="316" t="s">
        <v>185</v>
      </c>
      <c r="B6" s="316"/>
      <c r="C6" s="316"/>
      <c r="D6" s="316"/>
      <c r="E6" s="316"/>
      <c r="F6" s="316"/>
    </row>
    <row r="7" spans="1:6" ht="4.5" customHeight="1">
      <c r="A7" s="81"/>
      <c r="B7" s="81"/>
      <c r="C7" s="81"/>
      <c r="D7" s="81"/>
      <c r="E7" s="81"/>
      <c r="F7" s="81"/>
    </row>
    <row r="8" spans="1:6" ht="15">
      <c r="A8" s="105" t="s">
        <v>217</v>
      </c>
      <c r="B8" s="83"/>
      <c r="C8" s="83"/>
      <c r="D8" s="83"/>
      <c r="E8" s="83"/>
      <c r="F8" s="83"/>
    </row>
    <row r="9" spans="1:6">
      <c r="A9" s="83"/>
      <c r="B9" s="83"/>
      <c r="C9" s="83"/>
      <c r="D9" s="83"/>
      <c r="E9" s="83"/>
      <c r="F9" s="83"/>
    </row>
    <row r="10" spans="1:6">
      <c r="A10" s="84" t="s">
        <v>186</v>
      </c>
      <c r="B10" s="86"/>
      <c r="C10" s="308" t="s">
        <v>187</v>
      </c>
      <c r="D10" s="308"/>
      <c r="E10" s="319" t="s">
        <v>126</v>
      </c>
      <c r="F10" s="319"/>
    </row>
    <row r="11" spans="1:6">
      <c r="A11" s="84" t="s">
        <v>188</v>
      </c>
      <c r="B11" s="86"/>
      <c r="C11" s="306" t="e">
        <f>#REF!</f>
        <v>#REF!</v>
      </c>
      <c r="D11" s="309"/>
      <c r="E11" s="306" t="e">
        <f>#REF!</f>
        <v>#REF!</v>
      </c>
      <c r="F11" s="309"/>
    </row>
    <row r="12" spans="1:6">
      <c r="A12" s="84" t="s">
        <v>189</v>
      </c>
      <c r="B12" s="86"/>
      <c r="C12" s="306" t="e">
        <f>#REF!</f>
        <v>#REF!</v>
      </c>
      <c r="D12" s="307"/>
      <c r="E12" s="306" t="e">
        <f>#REF!</f>
        <v>#REF!</v>
      </c>
      <c r="F12" s="309"/>
    </row>
    <row r="13" spans="1:6">
      <c r="A13" s="84" t="s">
        <v>190</v>
      </c>
      <c r="B13" s="86"/>
      <c r="C13" s="306" t="e">
        <f>#REF!</f>
        <v>#REF!</v>
      </c>
      <c r="D13" s="307"/>
      <c r="E13" s="306" t="e">
        <f>#REF!</f>
        <v>#REF!</v>
      </c>
      <c r="F13" s="309"/>
    </row>
    <row r="14" spans="1:6">
      <c r="A14" s="317" t="s">
        <v>191</v>
      </c>
      <c r="B14" s="320"/>
      <c r="C14" s="306" t="e">
        <f>#REF!</f>
        <v>#REF!</v>
      </c>
      <c r="D14" s="307"/>
      <c r="E14" s="306" t="e">
        <f>#REF!</f>
        <v>#REF!</v>
      </c>
      <c r="F14" s="309"/>
    </row>
    <row r="15" spans="1:6">
      <c r="A15" s="84" t="s">
        <v>192</v>
      </c>
      <c r="B15" s="86"/>
      <c r="C15" s="306" t="e">
        <f>#REF!</f>
        <v>#REF!</v>
      </c>
      <c r="D15" s="307"/>
      <c r="E15" s="306" t="e">
        <f>#REF!</f>
        <v>#REF!</v>
      </c>
      <c r="F15" s="309"/>
    </row>
    <row r="16" spans="1:6" ht="26.25" customHeight="1">
      <c r="A16" s="317" t="s">
        <v>193</v>
      </c>
      <c r="B16" s="318"/>
      <c r="C16" s="306" t="e">
        <f>#REF!</f>
        <v>#REF!</v>
      </c>
      <c r="D16" s="307"/>
      <c r="E16" s="306" t="e">
        <f>#REF!</f>
        <v>#REF!</v>
      </c>
      <c r="F16" s="309"/>
    </row>
    <row r="17" spans="1:6">
      <c r="A17" s="84" t="s">
        <v>231</v>
      </c>
      <c r="B17" s="86"/>
      <c r="C17" s="306" t="e">
        <f>#REF!</f>
        <v>#REF!</v>
      </c>
      <c r="D17" s="307"/>
      <c r="E17" s="306" t="e">
        <f>#REF!</f>
        <v>#REF!</v>
      </c>
      <c r="F17" s="309"/>
    </row>
    <row r="18" spans="1:6" ht="6" customHeight="1">
      <c r="A18" s="88"/>
      <c r="B18" s="88"/>
      <c r="C18" s="88"/>
      <c r="D18" s="88"/>
      <c r="E18" s="88"/>
      <c r="F18" s="88"/>
    </row>
    <row r="19" spans="1:6" ht="18">
      <c r="A19" s="106" t="s">
        <v>230</v>
      </c>
      <c r="B19" s="88"/>
      <c r="C19" s="88"/>
      <c r="D19" s="88"/>
      <c r="E19" s="88"/>
      <c r="F19" s="88"/>
    </row>
    <row r="20" spans="1:6" ht="3.75" customHeight="1">
      <c r="A20" s="88"/>
      <c r="B20" s="88"/>
      <c r="C20" s="88"/>
      <c r="D20" s="88"/>
      <c r="E20" s="88"/>
      <c r="F20" s="88"/>
    </row>
    <row r="21" spans="1:6">
      <c r="A21" s="84" t="s">
        <v>186</v>
      </c>
      <c r="B21" s="86"/>
      <c r="C21" s="306" t="s">
        <v>187</v>
      </c>
      <c r="D21" s="309"/>
      <c r="E21" s="306" t="s">
        <v>126</v>
      </c>
      <c r="F21" s="309"/>
    </row>
    <row r="22" spans="1:6">
      <c r="A22" s="84" t="s">
        <v>194</v>
      </c>
      <c r="B22" s="86"/>
      <c r="C22" s="101" t="e">
        <f>IF(#REF!&gt;0,#REF!,IF(#REF!&gt;0,#REF!))</f>
        <v>#REF!</v>
      </c>
      <c r="D22" s="102" t="e">
        <f>IF(#REF!&gt;0,#REF!,IF(#REF!&gt;0,#REF!))</f>
        <v>#REF!</v>
      </c>
      <c r="E22" s="104" t="e">
        <f>IF(#REF!&gt;0,#REF!,IF(#REF!&gt;0,#REF!))</f>
        <v>#REF!</v>
      </c>
      <c r="F22" s="102" t="e">
        <f>IF(#REF!&gt;0,#REF!,IF(#REF!&gt;0,#REF!))</f>
        <v>#REF!</v>
      </c>
    </row>
    <row r="23" spans="1:6">
      <c r="A23" s="84" t="s">
        <v>195</v>
      </c>
      <c r="B23" s="86"/>
      <c r="C23" s="103" t="e">
        <f>#REF!</f>
        <v>#REF!</v>
      </c>
      <c r="D23" s="102" t="e">
        <f>IF(#REF!="kg","kg/rok",IF(#REF!="m3","m3/rok"))</f>
        <v>#REF!</v>
      </c>
      <c r="E23" s="103" t="e">
        <f>#REF!</f>
        <v>#REF!</v>
      </c>
      <c r="F23" s="102" t="e">
        <f>IF(#REF!="kg","kg/rok",IF(#REF!="m3","m3/rok"))</f>
        <v>#REF!</v>
      </c>
    </row>
    <row r="24" spans="1:6">
      <c r="A24" s="84" t="s">
        <v>196</v>
      </c>
      <c r="B24" s="86"/>
      <c r="C24" s="325" t="e">
        <f>#REF!</f>
        <v>#REF!</v>
      </c>
      <c r="D24" s="309"/>
      <c r="E24" s="306" t="e">
        <f>#REF!</f>
        <v>#REF!</v>
      </c>
      <c r="F24" s="309"/>
    </row>
    <row r="25" spans="1:6">
      <c r="A25" s="84" t="s">
        <v>197</v>
      </c>
      <c r="B25" s="85"/>
      <c r="C25" s="325" t="e">
        <f>#REF!</f>
        <v>#REF!</v>
      </c>
      <c r="D25" s="309"/>
      <c r="E25" s="325" t="e">
        <f>#REF!</f>
        <v>#REF!</v>
      </c>
      <c r="F25" s="309"/>
    </row>
    <row r="26" spans="1:6" ht="3.75" customHeight="1">
      <c r="A26" s="88"/>
      <c r="B26" s="88"/>
      <c r="C26" s="88"/>
      <c r="D26" s="88"/>
      <c r="E26" s="88"/>
      <c r="F26" s="88"/>
    </row>
    <row r="27" spans="1:6" ht="25.5" customHeight="1">
      <c r="A27" s="326" t="s">
        <v>200</v>
      </c>
      <c r="B27" s="326"/>
      <c r="C27" s="96" t="e">
        <f>#REF!</f>
        <v>#REF!</v>
      </c>
      <c r="E27" s="100" t="e">
        <f>#REF!</f>
        <v>#REF!</v>
      </c>
    </row>
    <row r="28" spans="1:6" ht="6.75" customHeight="1"/>
    <row r="29" spans="1:6">
      <c r="A29" s="312" t="s">
        <v>123</v>
      </c>
      <c r="B29" s="312"/>
      <c r="C29" s="308" t="s">
        <v>124</v>
      </c>
      <c r="D29" s="308"/>
      <c r="E29" s="308" t="s">
        <v>125</v>
      </c>
      <c r="F29" s="308"/>
    </row>
    <row r="30" spans="1:6" ht="14.25" customHeight="1">
      <c r="A30" s="312"/>
      <c r="B30" s="312"/>
      <c r="C30" s="95" t="s">
        <v>198</v>
      </c>
      <c r="D30" s="95" t="s">
        <v>126</v>
      </c>
      <c r="E30" s="95" t="s">
        <v>127</v>
      </c>
      <c r="F30" s="95" t="s">
        <v>128</v>
      </c>
    </row>
    <row r="31" spans="1:6">
      <c r="A31" s="97">
        <v>1</v>
      </c>
      <c r="B31" s="97"/>
      <c r="C31" s="95">
        <v>2</v>
      </c>
      <c r="D31" s="95">
        <v>3</v>
      </c>
      <c r="E31" s="95">
        <v>4</v>
      </c>
      <c r="F31" s="95">
        <v>5</v>
      </c>
    </row>
    <row r="32" spans="1:6" ht="29.25" customHeight="1">
      <c r="A32" s="327" t="s">
        <v>199</v>
      </c>
      <c r="B32" s="328"/>
      <c r="C32" s="123" t="e">
        <f>#REF!</f>
        <v>#REF!</v>
      </c>
      <c r="D32" s="123" t="e">
        <f>#REF!</f>
        <v>#REF!</v>
      </c>
      <c r="E32" s="107" t="e">
        <f>#REF!</f>
        <v>#REF!</v>
      </c>
      <c r="F32" s="123" t="e">
        <f>#REF!</f>
        <v>#REF!</v>
      </c>
    </row>
    <row r="33" spans="1:6" ht="6.75" customHeight="1">
      <c r="A33" s="88"/>
      <c r="B33" s="94"/>
      <c r="C33" s="94"/>
      <c r="D33" s="94"/>
      <c r="E33" s="94"/>
      <c r="F33" s="94"/>
    </row>
    <row r="34" spans="1:6" ht="18">
      <c r="A34" s="106" t="s">
        <v>229</v>
      </c>
      <c r="B34" s="88"/>
      <c r="C34" s="88"/>
      <c r="D34" s="88"/>
      <c r="E34" s="88"/>
      <c r="F34" s="88"/>
    </row>
    <row r="35" spans="1:6" ht="3.75" customHeight="1">
      <c r="A35" s="88"/>
      <c r="B35" s="88"/>
      <c r="C35" s="88"/>
      <c r="D35" s="88"/>
      <c r="E35" s="88"/>
      <c r="F35" s="88"/>
    </row>
    <row r="36" spans="1:6" ht="15.75" customHeight="1">
      <c r="A36" s="84" t="s">
        <v>186</v>
      </c>
      <c r="B36" s="86"/>
      <c r="C36" s="308" t="s">
        <v>187</v>
      </c>
      <c r="D36" s="308"/>
      <c r="E36" s="308" t="s">
        <v>126</v>
      </c>
      <c r="F36" s="308"/>
    </row>
    <row r="37" spans="1:6" ht="24.95" customHeight="1">
      <c r="A37" s="317" t="s">
        <v>201</v>
      </c>
      <c r="B37" s="320"/>
      <c r="C37" s="306" t="e">
        <f>#REF!</f>
        <v>#REF!</v>
      </c>
      <c r="D37" s="309"/>
      <c r="E37" s="306" t="e">
        <f>#REF!</f>
        <v>#REF!</v>
      </c>
      <c r="F37" s="309"/>
    </row>
    <row r="38" spans="1:6">
      <c r="A38" s="317" t="s">
        <v>202</v>
      </c>
      <c r="B38" s="320"/>
      <c r="C38" s="306" t="e">
        <f>#REF!</f>
        <v>#REF!</v>
      </c>
      <c r="D38" s="309"/>
      <c r="E38" s="306" t="e">
        <f>#REF!</f>
        <v>#REF!</v>
      </c>
      <c r="F38" s="309"/>
    </row>
    <row r="39" spans="1:6">
      <c r="A39" s="317" t="s">
        <v>203</v>
      </c>
      <c r="B39" s="320"/>
      <c r="C39" s="306" t="e">
        <f>#REF!</f>
        <v>#REF!</v>
      </c>
      <c r="D39" s="309"/>
      <c r="E39" s="306" t="e">
        <f>#REF!</f>
        <v>#REF!</v>
      </c>
      <c r="F39" s="309"/>
    </row>
    <row r="40" spans="1:6">
      <c r="A40" s="306" t="s">
        <v>228</v>
      </c>
      <c r="B40" s="307"/>
      <c r="C40" s="307"/>
      <c r="D40" s="307"/>
      <c r="E40" s="307"/>
      <c r="F40" s="309"/>
    </row>
    <row r="41" spans="1:6">
      <c r="A41" s="87" t="s">
        <v>204</v>
      </c>
      <c r="B41" s="90"/>
      <c r="C41" s="329" t="e">
        <f xml:space="preserve"> IF(#REF!="ton (Mg)",#REF!,)</f>
        <v>#REF!</v>
      </c>
      <c r="D41" s="330"/>
      <c r="E41" s="329" t="e">
        <f xml:space="preserve"> IF(#REF!="ton (Mg)",#REF!,)</f>
        <v>#REF!</v>
      </c>
      <c r="F41" s="330"/>
    </row>
    <row r="42" spans="1:6" ht="15">
      <c r="A42" s="84" t="s">
        <v>226</v>
      </c>
      <c r="B42" s="86"/>
      <c r="C42" s="329" t="e">
        <f xml:space="preserve"> IF(#REF!="mln m3",#REF!,)</f>
        <v>#REF!</v>
      </c>
      <c r="D42" s="330"/>
      <c r="E42" s="329" t="e">
        <f xml:space="preserve"> IF(#REF!="mln m3",#REF!,)</f>
        <v>#REF!</v>
      </c>
      <c r="F42" s="330"/>
    </row>
    <row r="43" spans="1:6" ht="15">
      <c r="A43" s="87" t="s">
        <v>205</v>
      </c>
      <c r="B43" s="90"/>
      <c r="C43" s="329" t="e">
        <f xml:space="preserve"> IF(#REF!="m3",#REF!,)</f>
        <v>#REF!</v>
      </c>
      <c r="D43" s="330"/>
      <c r="E43" s="329" t="e">
        <f xml:space="preserve"> IF(#REF!="m3",#REF!,)</f>
        <v>#REF!</v>
      </c>
      <c r="F43" s="330"/>
    </row>
    <row r="44" spans="1:6" ht="6" customHeight="1">
      <c r="A44" s="83"/>
      <c r="B44" s="83"/>
      <c r="C44" s="88"/>
      <c r="D44" s="88"/>
      <c r="E44" s="88"/>
      <c r="F44" s="88"/>
    </row>
    <row r="45" spans="1:6">
      <c r="A45" s="312" t="s">
        <v>123</v>
      </c>
      <c r="B45" s="312"/>
      <c r="C45" s="308" t="s">
        <v>124</v>
      </c>
      <c r="D45" s="308"/>
      <c r="E45" s="308" t="s">
        <v>125</v>
      </c>
      <c r="F45" s="308"/>
    </row>
    <row r="46" spans="1:6">
      <c r="A46" s="312"/>
      <c r="B46" s="312"/>
      <c r="C46" s="95" t="s">
        <v>198</v>
      </c>
      <c r="D46" s="95" t="s">
        <v>126</v>
      </c>
      <c r="E46" s="95" t="s">
        <v>127</v>
      </c>
      <c r="F46" s="95" t="s">
        <v>128</v>
      </c>
    </row>
    <row r="47" spans="1:6">
      <c r="A47" s="321">
        <v>1</v>
      </c>
      <c r="B47" s="321"/>
      <c r="C47" s="95">
        <v>2</v>
      </c>
      <c r="D47" s="95">
        <v>3</v>
      </c>
      <c r="E47" s="95">
        <v>4</v>
      </c>
      <c r="F47" s="95">
        <v>5</v>
      </c>
    </row>
    <row r="48" spans="1:6" ht="15">
      <c r="A48" s="322" t="s">
        <v>206</v>
      </c>
      <c r="B48" s="323"/>
      <c r="C48" s="122" t="e">
        <f>Podsumowanie!E31</f>
        <v>#REF!</v>
      </c>
      <c r="D48" s="122" t="e">
        <f>Podsumowanie!G31</f>
        <v>#REF!</v>
      </c>
      <c r="E48" s="108" t="e">
        <f>Podsumowanie!H31</f>
        <v>#REF!</v>
      </c>
      <c r="F48" s="124" t="e">
        <f>Podsumowanie!J31</f>
        <v>#REF!</v>
      </c>
    </row>
    <row r="49" spans="1:6" ht="15">
      <c r="A49" s="324" t="s">
        <v>207</v>
      </c>
      <c r="B49" s="323"/>
      <c r="C49" s="122" t="e">
        <f>Podsumowanie!E32</f>
        <v>#REF!</v>
      </c>
      <c r="D49" s="122" t="e">
        <f>Podsumowanie!G32</f>
        <v>#REF!</v>
      </c>
      <c r="E49" s="108" t="e">
        <f>Podsumowanie!H32</f>
        <v>#REF!</v>
      </c>
      <c r="F49" s="124" t="e">
        <f>Podsumowanie!J32</f>
        <v>#REF!</v>
      </c>
    </row>
    <row r="50" spans="1:6">
      <c r="A50" s="324" t="s">
        <v>43</v>
      </c>
      <c r="B50" s="323"/>
      <c r="C50" s="122" t="e">
        <f>Podsumowanie!E34</f>
        <v>#REF!</v>
      </c>
      <c r="D50" s="122" t="e">
        <f>Podsumowanie!G34</f>
        <v>#REF!</v>
      </c>
      <c r="E50" s="108" t="e">
        <f>Podsumowanie!H34</f>
        <v>#REF!</v>
      </c>
      <c r="F50" s="124" t="e">
        <f>Podsumowanie!J34</f>
        <v>#REF!</v>
      </c>
    </row>
    <row r="51" spans="1:6">
      <c r="A51" s="324" t="s">
        <v>44</v>
      </c>
      <c r="B51" s="323"/>
      <c r="C51" s="122" t="e">
        <f>Podsumowanie!E35</f>
        <v>#REF!</v>
      </c>
      <c r="D51" s="122" t="e">
        <f>Podsumowanie!G35</f>
        <v>#REF!</v>
      </c>
      <c r="E51" s="108" t="e">
        <f>Podsumowanie!H35</f>
        <v>#REF!</v>
      </c>
      <c r="F51" s="124" t="e">
        <f>Podsumowanie!J35</f>
        <v>#REF!</v>
      </c>
    </row>
    <row r="52" spans="1:6">
      <c r="A52" s="83"/>
      <c r="B52" s="83"/>
      <c r="C52" s="83"/>
      <c r="D52" s="83"/>
      <c r="E52" s="83"/>
      <c r="F52" s="83"/>
    </row>
    <row r="53" spans="1:6" ht="13.5" customHeight="1">
      <c r="A53" s="126"/>
      <c r="B53" s="126"/>
      <c r="C53" s="126"/>
      <c r="D53" s="126"/>
      <c r="E53" s="126"/>
      <c r="F53" s="126"/>
    </row>
    <row r="54" spans="1:6">
      <c r="A54" s="89"/>
      <c r="B54" s="89"/>
      <c r="C54" s="89"/>
      <c r="D54" s="89"/>
      <c r="E54" s="89"/>
      <c r="F54" s="89"/>
    </row>
    <row r="55" spans="1:6" ht="18.75" customHeight="1">
      <c r="A55" s="125"/>
      <c r="B55" s="125"/>
      <c r="C55" s="125"/>
      <c r="D55" s="125"/>
      <c r="E55" s="125"/>
      <c r="F55" s="125"/>
    </row>
    <row r="56" spans="1:6">
      <c r="A56" s="83"/>
      <c r="B56" s="83"/>
      <c r="C56" s="83"/>
      <c r="D56" s="83"/>
      <c r="E56" s="83"/>
      <c r="F56" s="83"/>
    </row>
    <row r="57" spans="1:6">
      <c r="A57" s="304" t="e">
        <f>IF(#REF!&gt;0,#REF!,"")</f>
        <v>#REF!</v>
      </c>
      <c r="B57" s="304"/>
      <c r="C57" s="305" t="e">
        <f>IF(#REF!&gt;0,#REF!,"")</f>
        <v>#REF!</v>
      </c>
      <c r="D57" s="305"/>
      <c r="F57" s="83"/>
    </row>
    <row r="58" spans="1:6">
      <c r="A58" s="311" t="s">
        <v>224</v>
      </c>
      <c r="B58" s="311"/>
      <c r="C58" s="311" t="s">
        <v>225</v>
      </c>
      <c r="D58" s="311"/>
      <c r="F58" s="83"/>
    </row>
    <row r="59" spans="1:6" ht="15">
      <c r="A59" s="81"/>
      <c r="B59" s="83"/>
      <c r="C59" s="83"/>
      <c r="D59" s="83"/>
      <c r="E59" s="83"/>
      <c r="F59" s="83"/>
    </row>
    <row r="60" spans="1:6" ht="15">
      <c r="A60" s="81"/>
      <c r="B60" s="83"/>
      <c r="C60" s="83"/>
      <c r="D60" s="83"/>
      <c r="E60" s="83"/>
      <c r="F60" s="83"/>
    </row>
    <row r="61" spans="1:6" ht="15">
      <c r="A61" s="81"/>
      <c r="B61" s="83"/>
      <c r="D61" s="83"/>
      <c r="E61" s="83"/>
      <c r="F61" s="83"/>
    </row>
    <row r="62" spans="1:6" ht="15">
      <c r="A62" s="81"/>
      <c r="B62" s="83"/>
      <c r="C62" s="83"/>
      <c r="D62" s="83"/>
      <c r="E62" s="83"/>
      <c r="F62" s="83"/>
    </row>
    <row r="63" spans="1:6" ht="15">
      <c r="A63" s="81"/>
      <c r="B63" s="83"/>
      <c r="C63" s="83"/>
      <c r="D63" s="83"/>
      <c r="E63" s="83"/>
      <c r="F63" s="83"/>
    </row>
    <row r="64" spans="1:6" ht="15">
      <c r="A64" s="81"/>
      <c r="B64" s="83"/>
      <c r="C64" s="83"/>
      <c r="D64" s="83"/>
      <c r="E64" s="83"/>
      <c r="F64" s="83"/>
    </row>
    <row r="65" spans="1:6" ht="15">
      <c r="A65" s="81"/>
      <c r="B65" s="83"/>
      <c r="C65" s="83"/>
      <c r="D65" s="83"/>
      <c r="E65" s="83"/>
      <c r="F65" s="83"/>
    </row>
    <row r="66" spans="1:6" ht="15">
      <c r="A66" s="81"/>
      <c r="B66" s="83"/>
      <c r="C66" s="83"/>
      <c r="D66" s="83"/>
      <c r="E66" s="83"/>
      <c r="F66" s="83"/>
    </row>
    <row r="67" spans="1:6" ht="15">
      <c r="A67" s="81"/>
      <c r="B67" s="83"/>
      <c r="C67" s="83"/>
      <c r="D67" s="83"/>
      <c r="E67" s="83"/>
      <c r="F67" s="83"/>
    </row>
    <row r="68" spans="1:6" ht="15">
      <c r="A68" s="81"/>
      <c r="B68" s="83"/>
      <c r="C68" s="83"/>
      <c r="D68" s="83"/>
      <c r="E68" s="83"/>
      <c r="F68" s="83"/>
    </row>
    <row r="69" spans="1:6" ht="15">
      <c r="A69" s="81"/>
      <c r="B69" s="83"/>
      <c r="C69" s="83"/>
      <c r="D69" s="83"/>
      <c r="E69" s="83"/>
      <c r="F69" s="83"/>
    </row>
    <row r="70" spans="1:6" ht="15">
      <c r="A70" s="81"/>
      <c r="B70" s="83"/>
      <c r="C70" s="83"/>
      <c r="D70" s="83"/>
      <c r="E70" s="83"/>
      <c r="F70" s="83"/>
    </row>
    <row r="71" spans="1:6" ht="15">
      <c r="A71" s="81"/>
      <c r="B71" s="83"/>
      <c r="C71" s="83"/>
      <c r="D71" s="83"/>
      <c r="E71" s="83"/>
      <c r="F71" s="83"/>
    </row>
    <row r="72" spans="1:6" ht="15">
      <c r="A72" s="81"/>
      <c r="B72" s="83"/>
      <c r="C72" s="83"/>
      <c r="D72" s="83"/>
      <c r="E72" s="83"/>
      <c r="F72" s="83"/>
    </row>
    <row r="73" spans="1:6" ht="15">
      <c r="A73" s="81"/>
      <c r="B73" s="83"/>
      <c r="C73" s="83"/>
      <c r="D73" s="83"/>
      <c r="E73" s="83"/>
      <c r="F73" s="83"/>
    </row>
    <row r="74" spans="1:6">
      <c r="A74" s="83"/>
      <c r="B74" s="83"/>
      <c r="C74" s="83"/>
      <c r="D74" s="83"/>
      <c r="E74" s="83"/>
      <c r="F74" s="83"/>
    </row>
    <row r="75" spans="1:6" ht="15">
      <c r="A75" s="83"/>
      <c r="B75" s="83"/>
      <c r="C75" s="83"/>
      <c r="D75" s="81" t="s">
        <v>208</v>
      </c>
      <c r="E75" s="81"/>
      <c r="F75" s="81"/>
    </row>
    <row r="76" spans="1:6" ht="15">
      <c r="A76" s="83"/>
      <c r="B76" s="83"/>
      <c r="C76" s="83"/>
      <c r="D76" s="98" t="s">
        <v>209</v>
      </c>
      <c r="E76" s="81"/>
      <c r="F76" s="81"/>
    </row>
    <row r="77" spans="1:6" ht="15">
      <c r="A77" s="83"/>
      <c r="B77" s="83"/>
      <c r="C77" s="83"/>
      <c r="D77" s="99" t="s">
        <v>210</v>
      </c>
      <c r="E77" s="81"/>
      <c r="F77" s="81"/>
    </row>
    <row r="78" spans="1:6" ht="15">
      <c r="D78" s="81"/>
      <c r="E78" s="81"/>
      <c r="F78" s="81"/>
    </row>
    <row r="79" spans="1:6" ht="15">
      <c r="A79" s="310" t="e">
        <f>IF(#REF!&gt;0,#REF!,"")</f>
        <v>#REF!</v>
      </c>
      <c r="B79" s="310"/>
      <c r="C79" s="111"/>
      <c r="D79" s="113">
        <f ca="1">TODAY()</f>
        <v>44550</v>
      </c>
    </row>
    <row r="80" spans="1:6" ht="15">
      <c r="A80" s="311" t="s">
        <v>211</v>
      </c>
      <c r="B80" s="311"/>
      <c r="C80" s="110"/>
      <c r="D80" s="112" t="s">
        <v>223</v>
      </c>
      <c r="E80" s="81"/>
      <c r="F80" s="81"/>
    </row>
    <row r="81" spans="1:6" ht="15">
      <c r="A81" s="83"/>
      <c r="B81" s="81"/>
      <c r="C81" s="81"/>
      <c r="D81" s="81"/>
      <c r="E81" s="81"/>
      <c r="F81" s="81"/>
    </row>
    <row r="82" spans="1:6" ht="15">
      <c r="A82" s="90"/>
      <c r="B82" s="91"/>
      <c r="C82" s="92"/>
      <c r="D82" s="81"/>
      <c r="E82" s="81"/>
      <c r="F82" s="81"/>
    </row>
    <row r="83" spans="1:6">
      <c r="A83" s="93" t="s">
        <v>212</v>
      </c>
      <c r="B83" s="92"/>
      <c r="C83" s="92"/>
      <c r="D83" s="92"/>
      <c r="E83" s="92"/>
      <c r="F83" s="92"/>
    </row>
    <row r="84" spans="1:6" ht="30" customHeight="1">
      <c r="A84" s="303" t="s">
        <v>213</v>
      </c>
      <c r="B84" s="303"/>
      <c r="C84" s="303"/>
      <c r="D84" s="303"/>
      <c r="E84" s="303"/>
      <c r="F84" s="303"/>
    </row>
    <row r="85" spans="1:6" ht="29.25" customHeight="1">
      <c r="A85" s="303" t="s">
        <v>214</v>
      </c>
      <c r="B85" s="303"/>
      <c r="C85" s="303"/>
      <c r="D85" s="303"/>
      <c r="E85" s="303"/>
      <c r="F85" s="303"/>
    </row>
    <row r="86" spans="1:6" ht="15" customHeight="1"/>
    <row r="87" spans="1:6" ht="15" customHeight="1"/>
  </sheetData>
  <mergeCells count="68">
    <mergeCell ref="A32:B32"/>
    <mergeCell ref="C43:D43"/>
    <mergeCell ref="E41:F41"/>
    <mergeCell ref="E42:F42"/>
    <mergeCell ref="E43:F43"/>
    <mergeCell ref="E37:F37"/>
    <mergeCell ref="E38:F38"/>
    <mergeCell ref="E39:F39"/>
    <mergeCell ref="C39:D39"/>
    <mergeCell ref="C41:D41"/>
    <mergeCell ref="A40:F40"/>
    <mergeCell ref="C42:D42"/>
    <mergeCell ref="A37:B37"/>
    <mergeCell ref="A38:B38"/>
    <mergeCell ref="A39:B39"/>
    <mergeCell ref="E36:F36"/>
    <mergeCell ref="C24:D24"/>
    <mergeCell ref="C25:D25"/>
    <mergeCell ref="E24:F24"/>
    <mergeCell ref="E25:F25"/>
    <mergeCell ref="A27:B27"/>
    <mergeCell ref="E45:F45"/>
    <mergeCell ref="A47:B47"/>
    <mergeCell ref="A84:F84"/>
    <mergeCell ref="A48:B48"/>
    <mergeCell ref="A49:B49"/>
    <mergeCell ref="A50:B50"/>
    <mergeCell ref="A51:B51"/>
    <mergeCell ref="A45:B46"/>
    <mergeCell ref="C45:D45"/>
    <mergeCell ref="A58:B58"/>
    <mergeCell ref="C58:D58"/>
    <mergeCell ref="A16:B16"/>
    <mergeCell ref="C10:D10"/>
    <mergeCell ref="E10:F10"/>
    <mergeCell ref="C21:D21"/>
    <mergeCell ref="E21:F21"/>
    <mergeCell ref="A14:B14"/>
    <mergeCell ref="C11:D11"/>
    <mergeCell ref="E11:F11"/>
    <mergeCell ref="E12:F12"/>
    <mergeCell ref="E13:F13"/>
    <mergeCell ref="E14:F14"/>
    <mergeCell ref="E15:F15"/>
    <mergeCell ref="E16:F16"/>
    <mergeCell ref="E17:F17"/>
    <mergeCell ref="A1:F1"/>
    <mergeCell ref="A2:F2"/>
    <mergeCell ref="A3:F3"/>
    <mergeCell ref="C12:D12"/>
    <mergeCell ref="A5:F5"/>
    <mergeCell ref="A6:F6"/>
    <mergeCell ref="A85:F85"/>
    <mergeCell ref="A57:B57"/>
    <mergeCell ref="C57:D57"/>
    <mergeCell ref="C13:D13"/>
    <mergeCell ref="C14:D14"/>
    <mergeCell ref="C15:D15"/>
    <mergeCell ref="C16:D16"/>
    <mergeCell ref="C17:D17"/>
    <mergeCell ref="C36:D36"/>
    <mergeCell ref="C37:D37"/>
    <mergeCell ref="C38:D38"/>
    <mergeCell ref="C29:D29"/>
    <mergeCell ref="E29:F29"/>
    <mergeCell ref="A79:B79"/>
    <mergeCell ref="A80:B80"/>
    <mergeCell ref="A29:B30"/>
  </mergeCells>
  <conditionalFormatting sqref="A57:B57">
    <cfRule type="cellIs" dxfId="103" priority="3" operator="equal">
      <formula>""</formula>
    </cfRule>
  </conditionalFormatting>
  <conditionalFormatting sqref="C57:D57">
    <cfRule type="cellIs" dxfId="102" priority="2" operator="equal">
      <formula>""</formula>
    </cfRule>
  </conditionalFormatting>
  <conditionalFormatting sqref="A79:B79">
    <cfRule type="cellIs" dxfId="101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299"/>
  <sheetViews>
    <sheetView view="pageBreakPreview" zoomScaleNormal="100" zoomScaleSheetLayoutView="100" workbookViewId="0">
      <selection sqref="A1:F1"/>
    </sheetView>
  </sheetViews>
  <sheetFormatPr defaultRowHeight="14.25"/>
  <cols>
    <col min="1" max="1" width="11.75" style="1" customWidth="1"/>
    <col min="2" max="2" width="16.75" style="1" customWidth="1"/>
    <col min="3" max="3" width="14.75" style="1" customWidth="1"/>
    <col min="4" max="4" width="14.5" style="1" customWidth="1"/>
    <col min="5" max="5" width="14.25" style="1" customWidth="1"/>
    <col min="6" max="6" width="14.875" style="1" customWidth="1"/>
    <col min="7" max="16384" width="9" style="1"/>
  </cols>
  <sheetData>
    <row r="1" spans="1:57" ht="12.75" customHeight="1">
      <c r="A1" s="374" t="s">
        <v>183</v>
      </c>
      <c r="B1" s="374"/>
      <c r="C1" s="374"/>
      <c r="D1" s="374"/>
      <c r="E1" s="374"/>
      <c r="F1" s="374"/>
      <c r="M1" s="17"/>
      <c r="N1" s="148"/>
      <c r="O1" s="148"/>
      <c r="P1" s="148"/>
      <c r="Q1" s="148"/>
      <c r="R1" s="148"/>
      <c r="S1" s="148"/>
      <c r="T1" s="148"/>
      <c r="U1" s="148"/>
      <c r="V1" s="148"/>
      <c r="W1" s="182"/>
      <c r="X1" s="182"/>
      <c r="Y1" s="182"/>
      <c r="Z1" s="182"/>
      <c r="AA1" s="131"/>
      <c r="AB1" s="131"/>
      <c r="AC1" s="131"/>
      <c r="AD1" s="131"/>
      <c r="AE1" s="131"/>
      <c r="AF1" s="131"/>
      <c r="AG1" s="131"/>
      <c r="AH1" s="131"/>
      <c r="AI1" s="369"/>
      <c r="AJ1" s="369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3"/>
      <c r="BA1" s="133"/>
      <c r="BB1" s="133"/>
      <c r="BC1" s="133"/>
      <c r="BD1" s="133"/>
      <c r="BE1" s="133"/>
    </row>
    <row r="2" spans="1:57" ht="14.25" customHeight="1">
      <c r="A2" s="375" t="s">
        <v>216</v>
      </c>
      <c r="B2" s="375"/>
      <c r="C2" s="375"/>
      <c r="D2" s="375"/>
      <c r="E2" s="375"/>
      <c r="F2" s="375"/>
      <c r="M2" s="17"/>
      <c r="N2" s="148"/>
      <c r="O2" s="148"/>
      <c r="P2" s="148"/>
      <c r="Q2" s="148"/>
      <c r="R2" s="148"/>
      <c r="S2" s="148"/>
      <c r="T2" s="148"/>
      <c r="U2" s="148"/>
      <c r="V2" s="148"/>
      <c r="W2" s="182"/>
      <c r="X2" s="182"/>
      <c r="Y2" s="182"/>
      <c r="Z2" s="182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3"/>
      <c r="BA2" s="133"/>
      <c r="BB2" s="133"/>
      <c r="BC2" s="133"/>
      <c r="BD2" s="133"/>
      <c r="BE2" s="133"/>
    </row>
    <row r="3" spans="1:57" ht="13.5" customHeight="1">
      <c r="A3" s="375" t="s">
        <v>184</v>
      </c>
      <c r="B3" s="375"/>
      <c r="C3" s="375"/>
      <c r="D3" s="375"/>
      <c r="E3" s="375"/>
      <c r="F3" s="375"/>
      <c r="M3" s="17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3"/>
      <c r="BA3" s="133"/>
      <c r="BB3" s="133"/>
      <c r="BC3" s="133"/>
      <c r="BD3" s="133"/>
      <c r="BE3" s="133"/>
    </row>
    <row r="4" spans="1:57" ht="3" customHeight="1">
      <c r="A4" s="239"/>
      <c r="B4" s="239"/>
      <c r="C4" s="239"/>
      <c r="D4" s="239"/>
      <c r="E4" s="239"/>
      <c r="F4" s="239"/>
      <c r="M4" s="17"/>
      <c r="N4" s="139"/>
      <c r="O4" s="139"/>
      <c r="P4" s="139"/>
      <c r="Q4" s="139"/>
      <c r="R4" s="139"/>
      <c r="S4" s="139"/>
      <c r="T4" s="131"/>
      <c r="U4" s="139"/>
      <c r="V4" s="139"/>
      <c r="W4" s="139"/>
      <c r="X4" s="139"/>
      <c r="Y4" s="139"/>
      <c r="Z4" s="139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3"/>
      <c r="BA4" s="133"/>
      <c r="BB4" s="133"/>
      <c r="BC4" s="133"/>
      <c r="BD4" s="133"/>
      <c r="BE4" s="133"/>
    </row>
    <row r="5" spans="1:57" ht="35.25" customHeight="1">
      <c r="A5" s="376"/>
      <c r="B5" s="376"/>
      <c r="C5" s="376"/>
      <c r="D5" s="376"/>
      <c r="E5" s="376"/>
      <c r="F5" s="376"/>
      <c r="M5" s="17"/>
      <c r="N5" s="132"/>
      <c r="O5" s="132"/>
      <c r="P5" s="132"/>
      <c r="Q5" s="132"/>
      <c r="R5" s="132"/>
      <c r="S5" s="132"/>
      <c r="T5" s="131"/>
      <c r="U5" s="132"/>
      <c r="V5" s="132"/>
      <c r="W5" s="132"/>
      <c r="X5" s="132"/>
      <c r="Y5" s="132"/>
      <c r="Z5" s="132"/>
      <c r="AA5" s="131"/>
      <c r="AB5" s="131"/>
      <c r="AC5" s="131"/>
      <c r="AD5" s="131"/>
      <c r="AE5" s="131"/>
      <c r="AF5" s="131"/>
      <c r="AG5" s="131"/>
      <c r="AH5" s="131"/>
      <c r="AI5" s="183"/>
      <c r="AJ5" s="184"/>
      <c r="AK5" s="131"/>
      <c r="AL5" s="185"/>
      <c r="AM5" s="131"/>
      <c r="AN5" s="185"/>
      <c r="AO5" s="131"/>
      <c r="AP5" s="183"/>
      <c r="AQ5" s="131"/>
      <c r="AR5" s="131"/>
      <c r="AS5" s="131"/>
      <c r="AT5" s="131"/>
      <c r="AU5" s="183"/>
      <c r="AV5" s="186"/>
      <c r="AW5" s="186"/>
      <c r="AX5" s="186"/>
      <c r="AY5" s="131"/>
      <c r="AZ5" s="133"/>
      <c r="BA5" s="133"/>
      <c r="BB5" s="133"/>
      <c r="BC5" s="133"/>
      <c r="BD5" s="133"/>
      <c r="BE5" s="133"/>
    </row>
    <row r="6" spans="1:57" ht="11.25" customHeight="1">
      <c r="A6" s="377" t="s">
        <v>185</v>
      </c>
      <c r="B6" s="377"/>
      <c r="C6" s="377"/>
      <c r="D6" s="377"/>
      <c r="E6" s="377"/>
      <c r="F6" s="377"/>
      <c r="M6" s="17"/>
      <c r="N6" s="240"/>
      <c r="O6" s="240"/>
      <c r="P6" s="240"/>
      <c r="Q6" s="240"/>
      <c r="R6" s="240"/>
      <c r="S6" s="240"/>
      <c r="T6" s="131"/>
      <c r="U6" s="240"/>
      <c r="V6" s="240"/>
      <c r="W6" s="240"/>
      <c r="X6" s="240"/>
      <c r="Y6" s="240"/>
      <c r="Z6" s="240"/>
      <c r="AA6" s="131"/>
      <c r="AB6" s="131"/>
      <c r="AC6" s="131"/>
      <c r="AD6" s="131"/>
      <c r="AE6" s="131"/>
      <c r="AF6" s="131"/>
      <c r="AG6" s="131"/>
      <c r="AH6" s="131"/>
      <c r="AI6" s="183"/>
      <c r="AJ6" s="184"/>
      <c r="AK6" s="131"/>
      <c r="AL6" s="185"/>
      <c r="AM6" s="131"/>
      <c r="AN6" s="185"/>
      <c r="AO6" s="131"/>
      <c r="AP6" s="183"/>
      <c r="AQ6" s="131"/>
      <c r="AR6" s="131"/>
      <c r="AS6" s="131"/>
      <c r="AT6" s="131"/>
      <c r="AU6" s="183"/>
      <c r="AV6" s="186"/>
      <c r="AW6" s="186"/>
      <c r="AX6" s="186"/>
      <c r="AY6" s="131"/>
      <c r="AZ6" s="133"/>
      <c r="BA6" s="133"/>
      <c r="BB6" s="133"/>
      <c r="BC6" s="133"/>
      <c r="BD6" s="133"/>
      <c r="BE6" s="133"/>
    </row>
    <row r="7" spans="1:57" ht="3.75" customHeight="1">
      <c r="A7" s="178"/>
      <c r="B7" s="178"/>
      <c r="C7" s="178"/>
      <c r="D7" s="178"/>
      <c r="E7" s="178"/>
      <c r="F7" s="178"/>
      <c r="M7" s="17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83"/>
      <c r="AJ7" s="184"/>
      <c r="AK7" s="131"/>
      <c r="AL7" s="185"/>
      <c r="AM7" s="131"/>
      <c r="AN7" s="185"/>
      <c r="AO7" s="131"/>
      <c r="AP7" s="183"/>
      <c r="AQ7" s="131"/>
      <c r="AR7" s="131"/>
      <c r="AS7" s="131"/>
      <c r="AT7" s="131"/>
      <c r="AU7" s="183"/>
      <c r="AV7" s="186"/>
      <c r="AW7" s="186"/>
      <c r="AX7" s="186"/>
      <c r="AY7" s="131"/>
      <c r="AZ7" s="133"/>
      <c r="BA7" s="133"/>
      <c r="BB7" s="133"/>
      <c r="BC7" s="133"/>
      <c r="BD7" s="133"/>
      <c r="BE7" s="133"/>
    </row>
    <row r="8" spans="1:57" ht="15">
      <c r="A8" s="174" t="s">
        <v>217</v>
      </c>
      <c r="B8" s="175"/>
      <c r="C8" s="175"/>
      <c r="D8" s="175"/>
      <c r="E8" s="175"/>
      <c r="F8" s="175"/>
      <c r="M8" s="17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83"/>
      <c r="AJ8" s="184"/>
      <c r="AK8" s="131"/>
      <c r="AL8" s="185"/>
      <c r="AM8" s="131"/>
      <c r="AN8" s="185"/>
      <c r="AO8" s="131"/>
      <c r="AP8" s="183"/>
      <c r="AQ8" s="131"/>
      <c r="AR8" s="131"/>
      <c r="AS8" s="131"/>
      <c r="AT8" s="131"/>
      <c r="AU8" s="183"/>
      <c r="AV8" s="186"/>
      <c r="AW8" s="186"/>
      <c r="AX8" s="186"/>
      <c r="AY8" s="131"/>
      <c r="AZ8" s="133"/>
      <c r="BA8" s="133"/>
      <c r="BB8" s="133"/>
      <c r="BC8" s="133"/>
      <c r="BD8" s="133"/>
      <c r="BE8" s="133"/>
    </row>
    <row r="9" spans="1:57" ht="3" customHeight="1">
      <c r="A9" s="175"/>
      <c r="B9" s="175"/>
      <c r="C9" s="175"/>
      <c r="D9" s="175"/>
      <c r="E9" s="175"/>
      <c r="F9" s="175"/>
      <c r="M9" s="17"/>
      <c r="N9" s="216"/>
      <c r="O9" s="216"/>
      <c r="P9" s="216"/>
      <c r="Q9" s="216"/>
      <c r="R9" s="216"/>
      <c r="S9" s="216"/>
      <c r="T9" s="131"/>
      <c r="U9" s="216"/>
      <c r="V9" s="216"/>
      <c r="W9" s="216"/>
      <c r="X9" s="216"/>
      <c r="Y9" s="216"/>
      <c r="Z9" s="216"/>
      <c r="AA9" s="131"/>
      <c r="AB9" s="131"/>
      <c r="AC9" s="131"/>
      <c r="AD9" s="131"/>
      <c r="AE9" s="131"/>
      <c r="AF9" s="131"/>
      <c r="AG9" s="131"/>
      <c r="AH9" s="131"/>
      <c r="AI9" s="183"/>
      <c r="AJ9" s="184"/>
      <c r="AK9" s="131"/>
      <c r="AL9" s="185"/>
      <c r="AM9" s="131"/>
      <c r="AN9" s="185"/>
      <c r="AO9" s="131"/>
      <c r="AP9" s="183"/>
      <c r="AQ9" s="131"/>
      <c r="AR9" s="131"/>
      <c r="AS9" s="131"/>
      <c r="AT9" s="131"/>
      <c r="AU9" s="183"/>
      <c r="AV9" s="186"/>
      <c r="AW9" s="186"/>
      <c r="AX9" s="186"/>
      <c r="AY9" s="131"/>
      <c r="AZ9" s="133"/>
      <c r="BA9" s="133"/>
      <c r="BB9" s="133"/>
      <c r="BC9" s="133"/>
      <c r="BD9" s="133"/>
      <c r="BE9" s="133"/>
    </row>
    <row r="10" spans="1:57">
      <c r="A10" s="241" t="s">
        <v>186</v>
      </c>
      <c r="B10" s="241"/>
      <c r="C10" s="373" t="s">
        <v>187</v>
      </c>
      <c r="D10" s="373"/>
      <c r="E10" s="373" t="s">
        <v>126</v>
      </c>
      <c r="F10" s="373"/>
      <c r="I10" s="127"/>
      <c r="J10" s="127"/>
      <c r="K10" s="127"/>
      <c r="L10" s="127"/>
      <c r="M10" s="17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83"/>
      <c r="AJ10" s="184"/>
      <c r="AK10" s="131"/>
      <c r="AL10" s="185"/>
      <c r="AM10" s="131"/>
      <c r="AN10" s="185"/>
      <c r="AO10" s="131"/>
      <c r="AP10" s="183"/>
      <c r="AQ10" s="131"/>
      <c r="AR10" s="131"/>
      <c r="AS10" s="131"/>
      <c r="AT10" s="131"/>
      <c r="AU10" s="183"/>
      <c r="AV10" s="186"/>
      <c r="AW10" s="186"/>
      <c r="AX10" s="186"/>
      <c r="AY10" s="131"/>
      <c r="AZ10" s="133"/>
      <c r="BA10" s="133"/>
      <c r="BB10" s="133"/>
      <c r="BC10" s="133"/>
      <c r="BD10" s="133"/>
      <c r="BE10" s="133"/>
    </row>
    <row r="11" spans="1:57" ht="15">
      <c r="A11" s="337" t="s">
        <v>239</v>
      </c>
      <c r="B11" s="338"/>
      <c r="C11" s="379"/>
      <c r="D11" s="379"/>
      <c r="E11" s="379"/>
      <c r="F11" s="379"/>
      <c r="I11" s="127"/>
      <c r="J11" s="127"/>
      <c r="K11" s="127"/>
      <c r="L11" s="127"/>
      <c r="M11" s="17"/>
      <c r="N11" s="132"/>
      <c r="O11" s="132"/>
      <c r="P11" s="132"/>
      <c r="Q11" s="132"/>
      <c r="R11" s="132"/>
      <c r="S11" s="132"/>
      <c r="T11" s="131"/>
      <c r="U11" s="132"/>
      <c r="V11" s="132"/>
      <c r="W11" s="132"/>
      <c r="X11" s="132"/>
      <c r="Y11" s="132"/>
      <c r="Z11" s="132"/>
      <c r="AA11" s="131"/>
      <c r="AB11" s="131"/>
      <c r="AC11" s="131"/>
      <c r="AD11" s="131"/>
      <c r="AE11" s="131"/>
      <c r="AF11" s="131"/>
      <c r="AG11" s="131"/>
      <c r="AH11" s="131"/>
      <c r="AI11" s="183"/>
      <c r="AJ11" s="184"/>
      <c r="AK11" s="131"/>
      <c r="AL11" s="185"/>
      <c r="AM11" s="131"/>
      <c r="AN11" s="185"/>
      <c r="AO11" s="131"/>
      <c r="AP11" s="183"/>
      <c r="AQ11" s="131"/>
      <c r="AR11" s="131"/>
      <c r="AS11" s="131"/>
      <c r="AT11" s="131"/>
      <c r="AU11" s="183"/>
      <c r="AV11" s="186"/>
      <c r="AW11" s="186"/>
      <c r="AX11" s="186"/>
      <c r="AY11" s="131"/>
      <c r="AZ11" s="133"/>
      <c r="BA11" s="133"/>
      <c r="BB11" s="133"/>
      <c r="BC11" s="133"/>
      <c r="BD11" s="133"/>
      <c r="BE11" s="133"/>
    </row>
    <row r="12" spans="1:57">
      <c r="A12" s="241" t="s">
        <v>240</v>
      </c>
      <c r="B12" s="241"/>
      <c r="C12" s="379"/>
      <c r="D12" s="379"/>
      <c r="E12" s="379"/>
      <c r="F12" s="379"/>
      <c r="I12" s="127"/>
      <c r="J12" s="242"/>
      <c r="K12" s="242"/>
      <c r="L12" s="127"/>
      <c r="M12" s="17"/>
      <c r="N12" s="240"/>
      <c r="O12" s="240"/>
      <c r="P12" s="240"/>
      <c r="Q12" s="240"/>
      <c r="R12" s="240"/>
      <c r="S12" s="240"/>
      <c r="T12" s="131"/>
      <c r="U12" s="240"/>
      <c r="V12" s="240"/>
      <c r="W12" s="240"/>
      <c r="X12" s="240"/>
      <c r="Y12" s="240"/>
      <c r="Z12" s="240"/>
      <c r="AA12" s="131"/>
      <c r="AB12" s="131"/>
      <c r="AC12" s="131"/>
      <c r="AD12" s="131"/>
      <c r="AE12" s="131"/>
      <c r="AF12" s="131"/>
      <c r="AG12" s="131"/>
      <c r="AH12" s="131"/>
      <c r="AI12" s="183"/>
      <c r="AJ12" s="184"/>
      <c r="AK12" s="131"/>
      <c r="AL12" s="185"/>
      <c r="AM12" s="131"/>
      <c r="AN12" s="185"/>
      <c r="AO12" s="131"/>
      <c r="AP12" s="183"/>
      <c r="AQ12" s="131"/>
      <c r="AR12" s="131"/>
      <c r="AS12" s="131"/>
      <c r="AT12" s="131"/>
      <c r="AU12" s="183"/>
      <c r="AV12" s="186"/>
      <c r="AW12" s="186"/>
      <c r="AX12" s="186"/>
      <c r="AY12" s="131"/>
      <c r="AZ12" s="133"/>
      <c r="BA12" s="133"/>
      <c r="BB12" s="133"/>
      <c r="BC12" s="133"/>
      <c r="BD12" s="133"/>
      <c r="BE12" s="133"/>
    </row>
    <row r="13" spans="1:57" ht="14.25" customHeight="1">
      <c r="A13" s="337" t="s">
        <v>241</v>
      </c>
      <c r="B13" s="338"/>
      <c r="C13" s="378"/>
      <c r="D13" s="378"/>
      <c r="E13" s="378"/>
      <c r="F13" s="378"/>
      <c r="I13" s="127"/>
      <c r="J13" s="242"/>
      <c r="K13" s="242"/>
      <c r="L13" s="127"/>
      <c r="M13" s="17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83"/>
      <c r="AJ13" s="184"/>
      <c r="AK13" s="131"/>
      <c r="AL13" s="185"/>
      <c r="AM13" s="131"/>
      <c r="AN13" s="185"/>
      <c r="AO13" s="131"/>
      <c r="AP13" s="183"/>
      <c r="AQ13" s="131"/>
      <c r="AR13" s="131"/>
      <c r="AS13" s="131"/>
      <c r="AT13" s="131"/>
      <c r="AU13" s="183"/>
      <c r="AV13" s="186"/>
      <c r="AW13" s="186"/>
      <c r="AX13" s="186"/>
      <c r="AY13" s="131"/>
      <c r="AZ13" s="133"/>
      <c r="BA13" s="133"/>
      <c r="BB13" s="133"/>
      <c r="BC13" s="133"/>
      <c r="BD13" s="133"/>
      <c r="BE13" s="133"/>
    </row>
    <row r="14" spans="1:57">
      <c r="A14" s="337" t="s">
        <v>242</v>
      </c>
      <c r="B14" s="338"/>
      <c r="C14" s="378"/>
      <c r="D14" s="378"/>
      <c r="E14" s="378"/>
      <c r="F14" s="378"/>
      <c r="I14" s="127"/>
      <c r="J14" s="127"/>
      <c r="K14" s="242"/>
      <c r="L14" s="242"/>
      <c r="M14" s="17"/>
      <c r="N14" s="134"/>
      <c r="O14" s="134"/>
      <c r="P14" s="134"/>
      <c r="Q14" s="134"/>
      <c r="R14" s="134"/>
      <c r="S14" s="134"/>
      <c r="T14" s="131"/>
      <c r="U14" s="134"/>
      <c r="V14" s="134"/>
      <c r="W14" s="134"/>
      <c r="X14" s="134"/>
      <c r="Y14" s="134"/>
      <c r="Z14" s="134"/>
      <c r="AA14" s="131"/>
      <c r="AB14" s="131"/>
      <c r="AC14" s="131"/>
      <c r="AD14" s="131"/>
      <c r="AE14" s="131"/>
      <c r="AF14" s="131"/>
      <c r="AG14" s="131"/>
      <c r="AH14" s="131"/>
      <c r="AI14" s="183"/>
      <c r="AJ14" s="184"/>
      <c r="AK14" s="131"/>
      <c r="AL14" s="185"/>
      <c r="AM14" s="131"/>
      <c r="AN14" s="185"/>
      <c r="AO14" s="131"/>
      <c r="AP14" s="183"/>
      <c r="AQ14" s="131"/>
      <c r="AR14" s="131"/>
      <c r="AS14" s="131"/>
      <c r="AT14" s="131"/>
      <c r="AU14" s="183"/>
      <c r="AV14" s="186"/>
      <c r="AW14" s="186"/>
      <c r="AX14" s="186"/>
      <c r="AY14" s="131"/>
      <c r="AZ14" s="133"/>
      <c r="BA14" s="133"/>
      <c r="BB14" s="133"/>
      <c r="BC14" s="133"/>
      <c r="BD14" s="133"/>
      <c r="BE14" s="133"/>
    </row>
    <row r="15" spans="1:57" ht="15" customHeight="1">
      <c r="A15" s="380" t="s">
        <v>243</v>
      </c>
      <c r="B15" s="380"/>
      <c r="C15" s="378"/>
      <c r="D15" s="378"/>
      <c r="E15" s="378"/>
      <c r="F15" s="378"/>
      <c r="I15" s="127"/>
      <c r="J15" s="127"/>
      <c r="K15" s="127"/>
      <c r="L15" s="127"/>
      <c r="M15" s="17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83"/>
      <c r="AJ15" s="184"/>
      <c r="AK15" s="131"/>
      <c r="AL15" s="185"/>
      <c r="AM15" s="131"/>
      <c r="AN15" s="185"/>
      <c r="AO15" s="131"/>
      <c r="AP15" s="183"/>
      <c r="AQ15" s="131"/>
      <c r="AR15" s="131"/>
      <c r="AS15" s="131"/>
      <c r="AT15" s="131"/>
      <c r="AU15" s="183"/>
      <c r="AV15" s="186"/>
      <c r="AW15" s="186"/>
      <c r="AX15" s="186"/>
      <c r="AY15" s="131"/>
      <c r="AZ15" s="133"/>
      <c r="BA15" s="133"/>
      <c r="BB15" s="133"/>
      <c r="BC15" s="133"/>
      <c r="BD15" s="133"/>
      <c r="BE15" s="133"/>
    </row>
    <row r="16" spans="1:57">
      <c r="A16" s="339" t="s">
        <v>238</v>
      </c>
      <c r="B16" s="340"/>
      <c r="C16" s="378"/>
      <c r="D16" s="378"/>
      <c r="E16" s="378"/>
      <c r="F16" s="378"/>
      <c r="J16" s="127"/>
      <c r="K16" s="127"/>
      <c r="L16" s="127"/>
      <c r="M16" s="17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83"/>
      <c r="AJ16" s="184"/>
      <c r="AK16" s="131"/>
      <c r="AL16" s="185"/>
      <c r="AM16" s="131"/>
      <c r="AN16" s="185"/>
      <c r="AO16" s="131"/>
      <c r="AP16" s="183"/>
      <c r="AQ16" s="131"/>
      <c r="AR16" s="131"/>
      <c r="AS16" s="131"/>
      <c r="AT16" s="131"/>
      <c r="AU16" s="183"/>
      <c r="AV16" s="186"/>
      <c r="AW16" s="186"/>
      <c r="AX16" s="186"/>
      <c r="AY16" s="131"/>
      <c r="AZ16" s="133"/>
      <c r="BA16" s="133"/>
      <c r="BB16" s="133"/>
      <c r="BC16" s="133"/>
      <c r="BD16" s="133"/>
      <c r="BE16" s="133"/>
    </row>
    <row r="17" spans="1:57" ht="15">
      <c r="A17" s="337" t="s">
        <v>192</v>
      </c>
      <c r="B17" s="338"/>
      <c r="C17" s="378"/>
      <c r="D17" s="378"/>
      <c r="E17" s="378"/>
      <c r="F17" s="378"/>
      <c r="J17" s="242"/>
      <c r="K17" s="242"/>
      <c r="L17" s="127"/>
      <c r="M17" s="17"/>
      <c r="N17" s="132"/>
      <c r="O17" s="132"/>
      <c r="P17" s="132"/>
      <c r="Q17" s="132"/>
      <c r="R17" s="132"/>
      <c r="S17" s="132"/>
      <c r="T17" s="131"/>
      <c r="U17" s="132"/>
      <c r="V17" s="132"/>
      <c r="W17" s="132"/>
      <c r="X17" s="132"/>
      <c r="Y17" s="132"/>
      <c r="Z17" s="132"/>
      <c r="AA17" s="131"/>
      <c r="AB17" s="131"/>
      <c r="AC17" s="131"/>
      <c r="AD17" s="131"/>
      <c r="AE17" s="131"/>
      <c r="AF17" s="131"/>
      <c r="AG17" s="131"/>
      <c r="AH17" s="131"/>
      <c r="AI17" s="183"/>
      <c r="AJ17" s="184"/>
      <c r="AK17" s="131"/>
      <c r="AL17" s="185"/>
      <c r="AM17" s="131"/>
      <c r="AN17" s="185"/>
      <c r="AO17" s="131"/>
      <c r="AP17" s="183"/>
      <c r="AQ17" s="131"/>
      <c r="AR17" s="131"/>
      <c r="AS17" s="131"/>
      <c r="AT17" s="131"/>
      <c r="AU17" s="183"/>
      <c r="AV17" s="186"/>
      <c r="AW17" s="186"/>
      <c r="AX17" s="186"/>
      <c r="AY17" s="131"/>
      <c r="AZ17" s="133"/>
      <c r="BA17" s="133"/>
      <c r="BB17" s="133"/>
      <c r="BC17" s="133"/>
      <c r="BD17" s="133"/>
      <c r="BE17" s="133"/>
    </row>
    <row r="18" spans="1:57" ht="14.25" customHeight="1">
      <c r="A18" s="241" t="s">
        <v>244</v>
      </c>
      <c r="B18" s="241"/>
      <c r="C18" s="378"/>
      <c r="D18" s="378"/>
      <c r="E18" s="378"/>
      <c r="F18" s="378"/>
      <c r="J18" s="127"/>
      <c r="K18" s="127"/>
      <c r="L18" s="242"/>
      <c r="M18" s="24"/>
      <c r="N18" s="140"/>
      <c r="O18" s="140"/>
      <c r="P18" s="140"/>
      <c r="Q18" s="140"/>
      <c r="R18" s="140"/>
      <c r="S18" s="140"/>
      <c r="T18" s="131"/>
      <c r="U18" s="140"/>
      <c r="V18" s="140"/>
      <c r="W18" s="140"/>
      <c r="X18" s="140"/>
      <c r="Y18" s="140"/>
      <c r="Z18" s="140"/>
      <c r="AA18" s="131"/>
      <c r="AB18" s="131"/>
      <c r="AC18" s="131"/>
      <c r="AD18" s="131"/>
      <c r="AE18" s="131"/>
      <c r="AF18" s="131"/>
      <c r="AG18" s="131"/>
      <c r="AH18" s="131"/>
      <c r="AI18" s="183"/>
      <c r="AJ18" s="184"/>
      <c r="AK18" s="131"/>
      <c r="AL18" s="185"/>
      <c r="AM18" s="131"/>
      <c r="AN18" s="185"/>
      <c r="AO18" s="131"/>
      <c r="AP18" s="183"/>
      <c r="AQ18" s="131"/>
      <c r="AR18" s="131"/>
      <c r="AS18" s="131"/>
      <c r="AT18" s="131"/>
      <c r="AU18" s="183"/>
      <c r="AV18" s="186"/>
      <c r="AW18" s="186"/>
      <c r="AX18" s="186"/>
      <c r="AY18" s="131"/>
      <c r="AZ18" s="133"/>
      <c r="BA18" s="133"/>
      <c r="BB18" s="133"/>
      <c r="BC18" s="133"/>
      <c r="BD18" s="133"/>
      <c r="BE18" s="133"/>
    </row>
    <row r="19" spans="1:57" ht="15.75" customHeight="1">
      <c r="A19" s="380" t="s">
        <v>328</v>
      </c>
      <c r="B19" s="380"/>
      <c r="C19" s="382"/>
      <c r="D19" s="382"/>
      <c r="E19" s="382"/>
      <c r="F19" s="382"/>
      <c r="J19" s="242"/>
      <c r="K19" s="242"/>
      <c r="L19" s="127"/>
      <c r="M19" s="17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83"/>
      <c r="AQ19" s="131"/>
      <c r="AR19" s="131"/>
      <c r="AS19" s="131"/>
      <c r="AT19" s="131"/>
      <c r="AU19" s="183"/>
      <c r="AV19" s="186"/>
      <c r="AW19" s="186"/>
      <c r="AX19" s="186"/>
      <c r="AY19" s="131"/>
      <c r="AZ19" s="133"/>
      <c r="BA19" s="133"/>
      <c r="BB19" s="133"/>
      <c r="BC19" s="133"/>
      <c r="BD19" s="133"/>
      <c r="BE19" s="133"/>
    </row>
    <row r="20" spans="1:57">
      <c r="A20" s="241" t="s">
        <v>228</v>
      </c>
      <c r="B20" s="241"/>
      <c r="C20" s="275"/>
      <c r="D20" s="212" t="str">
        <f>IF($M$117=1,"GJ",IF($M$117&lt;=3,"ton (Mg)",IF($M$117=4,"m3",IF($M$117&lt;=6,"mln m3","ton (Mg)"))))</f>
        <v>ton (Mg)</v>
      </c>
      <c r="E20" s="275"/>
      <c r="F20" s="212" t="str">
        <f>IF($O$117=1,"GJ",IF($O$117&lt;=3,"ton (Mg)",IF($O$117=4,"m3",IF($O$117&lt;=6,"mln m3","ton (Mg)"))))</f>
        <v>ton (Mg)</v>
      </c>
      <c r="G20" s="242"/>
      <c r="H20" s="242"/>
      <c r="M20" s="17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83"/>
      <c r="AQ20" s="131"/>
      <c r="AR20" s="131"/>
      <c r="AS20" s="131"/>
      <c r="AT20" s="131"/>
      <c r="AU20" s="183"/>
      <c r="AV20" s="186"/>
      <c r="AW20" s="186"/>
      <c r="AX20" s="186"/>
      <c r="AY20" s="131"/>
      <c r="AZ20" s="133"/>
      <c r="BA20" s="133"/>
      <c r="BB20" s="133"/>
      <c r="BC20" s="133"/>
      <c r="BD20" s="133"/>
      <c r="BE20" s="133"/>
    </row>
    <row r="21" spans="1:57" ht="3" customHeight="1">
      <c r="A21" s="243"/>
      <c r="B21" s="243"/>
      <c r="C21" s="243"/>
      <c r="D21" s="243"/>
      <c r="E21" s="243"/>
      <c r="F21" s="243"/>
      <c r="M21" s="17"/>
      <c r="N21" s="244"/>
      <c r="O21" s="244"/>
      <c r="P21" s="244"/>
      <c r="Q21" s="244"/>
      <c r="R21" s="244"/>
      <c r="S21" s="244"/>
      <c r="T21" s="131"/>
      <c r="U21" s="244"/>
      <c r="V21" s="244"/>
      <c r="W21" s="244"/>
      <c r="X21" s="244"/>
      <c r="Y21" s="244"/>
      <c r="Z21" s="244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83"/>
      <c r="AQ21" s="131"/>
      <c r="AR21" s="131"/>
      <c r="AS21" s="131"/>
      <c r="AT21" s="131"/>
      <c r="AU21" s="183"/>
      <c r="AV21" s="186"/>
      <c r="AW21" s="186"/>
      <c r="AX21" s="186"/>
      <c r="AY21" s="131"/>
      <c r="AZ21" s="133"/>
      <c r="BA21" s="133"/>
      <c r="BB21" s="133"/>
      <c r="BC21" s="133"/>
      <c r="BD21" s="133"/>
      <c r="BE21" s="133"/>
    </row>
    <row r="22" spans="1:57" ht="3" customHeight="1">
      <c r="A22" s="243"/>
      <c r="B22" s="243"/>
      <c r="C22" s="383"/>
      <c r="D22" s="383"/>
      <c r="E22" s="383"/>
      <c r="F22" s="383"/>
      <c r="I22" s="127"/>
      <c r="J22" s="127"/>
      <c r="K22" s="127"/>
      <c r="L22" s="127"/>
      <c r="M22" s="17"/>
      <c r="N22" s="216"/>
      <c r="O22" s="216"/>
      <c r="P22" s="216"/>
      <c r="Q22" s="216"/>
      <c r="R22" s="131"/>
      <c r="S22" s="131"/>
      <c r="T22" s="131"/>
      <c r="U22" s="216"/>
      <c r="V22" s="216"/>
      <c r="W22" s="216"/>
      <c r="X22" s="216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83"/>
      <c r="AQ22" s="131"/>
      <c r="AR22" s="131"/>
      <c r="AS22" s="131"/>
      <c r="AT22" s="131"/>
      <c r="AU22" s="183"/>
      <c r="AV22" s="186"/>
      <c r="AW22" s="186"/>
      <c r="AX22" s="186"/>
      <c r="AY22" s="131"/>
      <c r="AZ22" s="133"/>
      <c r="BA22" s="133"/>
      <c r="BB22" s="133"/>
      <c r="BC22" s="133"/>
      <c r="BD22" s="133"/>
      <c r="BE22" s="133"/>
    </row>
    <row r="23" spans="1:57" ht="26.25" customHeight="1">
      <c r="A23" s="380" t="s">
        <v>337</v>
      </c>
      <c r="B23" s="380"/>
      <c r="C23" s="381"/>
      <c r="D23" s="381"/>
      <c r="E23" s="381"/>
      <c r="F23" s="381"/>
      <c r="I23" s="127"/>
      <c r="J23" s="127"/>
      <c r="K23" s="127"/>
      <c r="L23" s="127"/>
      <c r="M23" s="17"/>
      <c r="N23" s="216"/>
      <c r="O23" s="216"/>
      <c r="P23" s="216"/>
      <c r="Q23" s="216"/>
      <c r="R23" s="131"/>
      <c r="S23" s="131"/>
      <c r="T23" s="131"/>
      <c r="U23" s="216"/>
      <c r="V23" s="216"/>
      <c r="W23" s="216"/>
      <c r="X23" s="216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83"/>
      <c r="AQ23" s="131"/>
      <c r="AR23" s="131"/>
      <c r="AS23" s="131"/>
      <c r="AT23" s="131"/>
      <c r="AU23" s="183"/>
      <c r="AV23" s="186"/>
      <c r="AW23" s="186"/>
      <c r="AX23" s="186"/>
      <c r="AY23" s="131"/>
      <c r="AZ23" s="133"/>
      <c r="BA23" s="133"/>
      <c r="BB23" s="133"/>
      <c r="BC23" s="133"/>
      <c r="BD23" s="133"/>
      <c r="BE23" s="133"/>
    </row>
    <row r="24" spans="1:57" ht="16.5" customHeight="1">
      <c r="A24" s="380" t="s">
        <v>338</v>
      </c>
      <c r="B24" s="380"/>
      <c r="C24" s="381"/>
      <c r="D24" s="381"/>
      <c r="E24" s="381"/>
      <c r="F24" s="381"/>
      <c r="I24" s="127"/>
      <c r="M24" s="17"/>
      <c r="N24" s="131"/>
      <c r="O24" s="131"/>
      <c r="P24" s="131"/>
      <c r="Q24" s="131"/>
      <c r="R24" s="135"/>
      <c r="S24" s="131"/>
      <c r="T24" s="131"/>
      <c r="U24" s="131"/>
      <c r="V24" s="131"/>
      <c r="W24" s="131"/>
      <c r="X24" s="131"/>
      <c r="Y24" s="135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83"/>
      <c r="AQ24" s="131"/>
      <c r="AR24" s="131"/>
      <c r="AS24" s="131"/>
      <c r="AT24" s="131"/>
      <c r="AU24" s="183"/>
      <c r="AV24" s="186"/>
      <c r="AW24" s="186"/>
      <c r="AX24" s="186"/>
      <c r="AY24" s="131"/>
      <c r="AZ24" s="133"/>
      <c r="BA24" s="133"/>
      <c r="BB24" s="133"/>
      <c r="BC24" s="133"/>
      <c r="BD24" s="133"/>
      <c r="BE24" s="133"/>
    </row>
    <row r="25" spans="1:57" ht="15" customHeight="1">
      <c r="A25" s="380" t="s">
        <v>203</v>
      </c>
      <c r="B25" s="380"/>
      <c r="C25" s="381"/>
      <c r="D25" s="381"/>
      <c r="E25" s="381"/>
      <c r="F25" s="381"/>
      <c r="M25" s="17"/>
      <c r="N25" s="131"/>
      <c r="O25" s="131"/>
      <c r="P25" s="131"/>
      <c r="Q25" s="131"/>
      <c r="R25" s="135"/>
      <c r="S25" s="131"/>
      <c r="T25" s="131"/>
      <c r="U25" s="131"/>
      <c r="V25" s="131"/>
      <c r="W25" s="131"/>
      <c r="X25" s="131"/>
      <c r="Y25" s="135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83"/>
      <c r="AQ25" s="131"/>
      <c r="AR25" s="131"/>
      <c r="AS25" s="131"/>
      <c r="AT25" s="131"/>
      <c r="AU25" s="183"/>
      <c r="AV25" s="186"/>
      <c r="AW25" s="186"/>
      <c r="AX25" s="186"/>
      <c r="AY25" s="131"/>
      <c r="AZ25" s="133"/>
      <c r="BA25" s="133"/>
      <c r="BB25" s="133"/>
      <c r="BC25" s="133"/>
      <c r="BD25" s="133"/>
      <c r="BE25" s="133"/>
    </row>
    <row r="26" spans="1:57" ht="3" customHeight="1">
      <c r="A26" s="243"/>
      <c r="B26" s="243"/>
      <c r="C26" s="243"/>
      <c r="D26" s="243"/>
      <c r="E26" s="243"/>
      <c r="F26" s="243"/>
      <c r="M26" s="17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83"/>
      <c r="AQ26" s="131"/>
      <c r="AR26" s="131"/>
      <c r="AS26" s="131"/>
      <c r="AT26" s="131"/>
      <c r="AU26" s="183"/>
      <c r="AV26" s="186"/>
      <c r="AW26" s="186"/>
      <c r="AX26" s="186"/>
      <c r="AY26" s="131"/>
      <c r="AZ26" s="133"/>
      <c r="BA26" s="133"/>
      <c r="BB26" s="133"/>
      <c r="BC26" s="133"/>
      <c r="BD26" s="133"/>
      <c r="BE26" s="133"/>
    </row>
    <row r="27" spans="1:57" ht="15.75" customHeight="1">
      <c r="A27" s="245" t="s">
        <v>351</v>
      </c>
      <c r="M27" s="17"/>
      <c r="N27" s="131"/>
      <c r="O27" s="131"/>
      <c r="P27" s="131"/>
      <c r="Q27" s="131"/>
      <c r="R27" s="135"/>
      <c r="S27" s="131"/>
      <c r="T27" s="131"/>
      <c r="U27" s="131"/>
      <c r="V27" s="131"/>
      <c r="W27" s="131"/>
      <c r="X27" s="131"/>
      <c r="Y27" s="135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83"/>
      <c r="AQ27" s="131"/>
      <c r="AR27" s="131"/>
      <c r="AS27" s="131"/>
      <c r="AT27" s="131"/>
      <c r="AU27" s="183"/>
      <c r="AV27" s="186"/>
      <c r="AW27" s="186"/>
      <c r="AX27" s="186"/>
      <c r="AY27" s="131"/>
      <c r="AZ27" s="133"/>
      <c r="BA27" s="133"/>
      <c r="BB27" s="133"/>
      <c r="BC27" s="133"/>
      <c r="BD27" s="133"/>
      <c r="BE27" s="133"/>
    </row>
    <row r="28" spans="1:57" ht="3" customHeight="1">
      <c r="M28" s="17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83"/>
      <c r="AQ28" s="131"/>
      <c r="AR28" s="131"/>
      <c r="AS28" s="131"/>
      <c r="AT28" s="131"/>
      <c r="AU28" s="183"/>
      <c r="AV28" s="186"/>
      <c r="AW28" s="186"/>
      <c r="AX28" s="186"/>
      <c r="AY28" s="131"/>
      <c r="AZ28" s="133"/>
      <c r="BA28" s="133"/>
      <c r="BB28" s="133"/>
      <c r="BC28" s="133"/>
      <c r="BD28" s="133"/>
      <c r="BE28" s="133"/>
    </row>
    <row r="29" spans="1:57">
      <c r="A29" s="384" t="s">
        <v>123</v>
      </c>
      <c r="B29" s="384"/>
      <c r="C29" s="373" t="s">
        <v>124</v>
      </c>
      <c r="D29" s="373"/>
      <c r="E29" s="373" t="s">
        <v>125</v>
      </c>
      <c r="F29" s="373"/>
      <c r="M29" s="17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83"/>
      <c r="AQ29" s="131"/>
      <c r="AR29" s="131"/>
      <c r="AS29" s="131"/>
      <c r="AT29" s="131"/>
      <c r="AU29" s="183"/>
      <c r="AV29" s="186"/>
      <c r="AW29" s="186"/>
      <c r="AX29" s="186"/>
      <c r="AY29" s="131"/>
      <c r="AZ29" s="133"/>
      <c r="BA29" s="133"/>
      <c r="BB29" s="133"/>
      <c r="BC29" s="133"/>
      <c r="BD29" s="133"/>
      <c r="BE29" s="133"/>
    </row>
    <row r="30" spans="1:57" ht="15">
      <c r="A30" s="384"/>
      <c r="B30" s="384"/>
      <c r="C30" s="220" t="s">
        <v>132</v>
      </c>
      <c r="D30" s="220" t="s">
        <v>126</v>
      </c>
      <c r="E30" s="220" t="s">
        <v>127</v>
      </c>
      <c r="F30" s="220" t="s">
        <v>128</v>
      </c>
      <c r="M30" s="17"/>
      <c r="N30" s="131"/>
      <c r="O30" s="131"/>
      <c r="P30" s="131"/>
      <c r="Q30" s="141"/>
      <c r="R30" s="141"/>
      <c r="S30" s="132"/>
      <c r="T30" s="131"/>
      <c r="U30" s="131"/>
      <c r="V30" s="131"/>
      <c r="W30" s="131"/>
      <c r="X30" s="141"/>
      <c r="Y30" s="246"/>
      <c r="Z30" s="132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83"/>
      <c r="AQ30" s="131"/>
      <c r="AR30" s="131"/>
      <c r="AS30" s="131"/>
      <c r="AT30" s="131"/>
      <c r="AU30" s="183"/>
      <c r="AV30" s="186"/>
      <c r="AW30" s="186"/>
      <c r="AX30" s="186"/>
      <c r="AY30" s="131"/>
      <c r="AZ30" s="133"/>
      <c r="BA30" s="133"/>
      <c r="BB30" s="133"/>
      <c r="BC30" s="133"/>
      <c r="BD30" s="133"/>
      <c r="BE30" s="133"/>
    </row>
    <row r="31" spans="1:57" ht="15">
      <c r="A31" s="391">
        <v>1</v>
      </c>
      <c r="B31" s="391"/>
      <c r="C31" s="220">
        <v>2</v>
      </c>
      <c r="D31" s="220">
        <v>3</v>
      </c>
      <c r="E31" s="220">
        <v>4</v>
      </c>
      <c r="F31" s="220">
        <v>5</v>
      </c>
      <c r="M31" s="17"/>
      <c r="N31" s="131"/>
      <c r="O31" s="131"/>
      <c r="P31" s="131"/>
      <c r="Q31" s="131"/>
      <c r="R31" s="136"/>
      <c r="S31" s="132"/>
      <c r="T31" s="131"/>
      <c r="U31" s="131"/>
      <c r="V31" s="131"/>
      <c r="W31" s="131"/>
      <c r="X31" s="131"/>
      <c r="Y31" s="132"/>
      <c r="Z31" s="132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83"/>
      <c r="AQ31" s="131"/>
      <c r="AR31" s="131"/>
      <c r="AS31" s="131"/>
      <c r="AT31" s="131"/>
      <c r="AU31" s="183"/>
      <c r="AV31" s="186"/>
      <c r="AW31" s="186"/>
      <c r="AX31" s="186"/>
      <c r="AY31" s="131"/>
      <c r="AZ31" s="133"/>
      <c r="BA31" s="133"/>
      <c r="BB31" s="133"/>
      <c r="BC31" s="133"/>
      <c r="BD31" s="133"/>
      <c r="BE31" s="133"/>
    </row>
    <row r="32" spans="1:57" ht="15" customHeight="1">
      <c r="A32" s="392" t="s">
        <v>206</v>
      </c>
      <c r="B32" s="392"/>
      <c r="C32" s="149">
        <f>IF($M$134&lt;301001,$C$20*$C$23*$M$153*(100-$D$147)/100,IF($M$134&lt;=301003,"Nie oblicza się",IF($M$134&lt;701001,$C$20*$C$23*$M$153*(100-$D$147)/100,$C$20*$M$153*(100-$D$147)/100)))</f>
        <v>0</v>
      </c>
      <c r="D32" s="149">
        <f>IF($O$134&lt;301001,$E$20*$E$23*$O$153*(100-$I$147)/100,IF($O$134&lt;=301003,"Nie oblicza się",IF($O$134&lt;701001,$E$20*$E$23*$O$153*(100-$I$147)/100,$E$20*$O$153*(100-$I$147)/100)))</f>
        <v>0</v>
      </c>
      <c r="E32" s="149">
        <f>IF(C32-D32&gt;0,C32-D32,0)</f>
        <v>0</v>
      </c>
      <c r="F32" s="157">
        <f>IF(C32=0,0,(E32/C32)*100)</f>
        <v>0</v>
      </c>
      <c r="M32" s="17"/>
      <c r="N32" s="137"/>
      <c r="O32" s="131"/>
      <c r="P32" s="131"/>
      <c r="Q32" s="131"/>
      <c r="R32" s="131"/>
      <c r="S32" s="131"/>
      <c r="T32" s="131"/>
      <c r="U32" s="137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83"/>
      <c r="AQ32" s="131"/>
      <c r="AR32" s="131"/>
      <c r="AS32" s="131"/>
      <c r="AT32" s="131"/>
      <c r="AU32" s="183"/>
      <c r="AV32" s="186"/>
      <c r="AW32" s="186"/>
      <c r="AX32" s="186"/>
      <c r="AY32" s="131"/>
      <c r="AZ32" s="133"/>
      <c r="BA32" s="133"/>
      <c r="BB32" s="133"/>
      <c r="BC32" s="133"/>
      <c r="BD32" s="133"/>
      <c r="BE32" s="133"/>
    </row>
    <row r="33" spans="1:57" ht="15">
      <c r="A33" s="392" t="s">
        <v>207</v>
      </c>
      <c r="B33" s="392"/>
      <c r="C33" s="149">
        <f>IF($M$134&lt;301001,$C$20*$M$154*(100-$D$148)/100,IF($M$134&lt;=301003,"Nie oblicza się",$C$20*$M$154*(100-$D$148)/100))</f>
        <v>0</v>
      </c>
      <c r="D33" s="149">
        <f>IF($O$134&lt;301001,$E$20*$O$154*(100-$I$148)/100,IF($O$134&lt;=301003,"Nie oblicza się",$E$20*$O$154*(100-$I$148)/100))</f>
        <v>0</v>
      </c>
      <c r="E33" s="149">
        <f t="shared" ref="E33:E35" si="0">IF(C33-D33&gt;0,C33-D33,0)</f>
        <v>0</v>
      </c>
      <c r="F33" s="157">
        <f t="shared" ref="F33:F35" si="1">IF(C33=0,0,(E33/C33)*100)</f>
        <v>0</v>
      </c>
      <c r="M33" s="17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83"/>
      <c r="AV33" s="186"/>
      <c r="AW33" s="186"/>
      <c r="AX33" s="186"/>
      <c r="AY33" s="131"/>
      <c r="AZ33" s="133"/>
      <c r="BA33" s="133"/>
      <c r="BB33" s="133"/>
      <c r="BC33" s="133"/>
      <c r="BD33" s="133"/>
      <c r="BE33" s="133"/>
    </row>
    <row r="34" spans="1:57" ht="14.25" customHeight="1">
      <c r="A34" s="392" t="s">
        <v>43</v>
      </c>
      <c r="B34" s="392"/>
      <c r="C34" s="149">
        <f>IF($M$134&lt;301001,$C$20*$M$156*(100-$D$149)/100,IF($M$134&lt;=301003,"Nie oblicza się",$C$20*$M$156*(100-$D$149)/100))</f>
        <v>0</v>
      </c>
      <c r="D34" s="149">
        <f>IF($O$134&lt;301001,$E$20*$O$156*(100-$I$149)/100,IF($O$134&lt;=301003,"Nie oblicza się",$E$20*$O$156*(100-$I$149)/100))</f>
        <v>0</v>
      </c>
      <c r="E34" s="149">
        <f t="shared" si="0"/>
        <v>0</v>
      </c>
      <c r="F34" s="157">
        <f t="shared" si="1"/>
        <v>0</v>
      </c>
      <c r="J34" s="128"/>
      <c r="M34" s="17"/>
      <c r="N34" s="131"/>
      <c r="O34" s="142"/>
      <c r="P34" s="146"/>
      <c r="Q34" s="146"/>
      <c r="R34" s="138"/>
      <c r="S34" s="131"/>
      <c r="T34" s="131"/>
      <c r="U34" s="131"/>
      <c r="V34" s="142"/>
      <c r="W34" s="146"/>
      <c r="X34" s="146"/>
      <c r="Y34" s="138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83"/>
      <c r="AV34" s="186"/>
      <c r="AW34" s="186"/>
      <c r="AX34" s="186"/>
      <c r="AY34" s="131"/>
      <c r="AZ34" s="133"/>
      <c r="BA34" s="133"/>
      <c r="BB34" s="133"/>
      <c r="BC34" s="133"/>
      <c r="BD34" s="133"/>
      <c r="BE34" s="133"/>
    </row>
    <row r="35" spans="1:57" ht="15">
      <c r="A35" s="392" t="s">
        <v>44</v>
      </c>
      <c r="B35" s="392"/>
      <c r="C35" s="149">
        <f>IF($M$134&lt;301001,$C$20*$M$157*$C$24*(100-$C$19)/(100-$C$25),IF($M$134&lt;=301003,"Nie oblicza się",IF($M$134&lt;=302221,$C$20*$M$157*$C$24*(100-$C$19)/(100-$C$25),IF($M$134&lt;=701001,$C$20*$M$157*(100-$C$19)/(100-$C$25),$C$20*$M$157*$C$24*(100-$C$19)/(100-$C$25)))))</f>
        <v>0</v>
      </c>
      <c r="D35" s="149">
        <f>IF($O$134&lt;301001,$E$20*$O$157*$E$24*(100-$E$19)/(100-$E$25),IF($O$134&lt;=301003,"Nie oblicza się",IF($O$134&lt;=302221,$E$20*$O$157*$E$24*(100-$E$19)/(100-$E$25),IF($O$134&lt;=701001,$E$20*$O$157*(100-$E$19)/(100-$E$25),$E$20*$O$157*$E$24*(100-$E$19)/(100-$E$25)))))</f>
        <v>0</v>
      </c>
      <c r="E35" s="149">
        <f t="shared" si="0"/>
        <v>0</v>
      </c>
      <c r="F35" s="157">
        <f t="shared" si="1"/>
        <v>0</v>
      </c>
      <c r="M35" s="17"/>
      <c r="N35" s="143"/>
      <c r="O35" s="247"/>
      <c r="P35" s="247"/>
      <c r="Q35" s="247"/>
      <c r="R35" s="247"/>
      <c r="S35" s="247"/>
      <c r="T35" s="131"/>
      <c r="U35" s="143"/>
      <c r="V35" s="247"/>
      <c r="W35" s="247"/>
      <c r="X35" s="247"/>
      <c r="Y35" s="247"/>
      <c r="Z35" s="247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83"/>
      <c r="AV35" s="186"/>
      <c r="AW35" s="186"/>
      <c r="AX35" s="186"/>
      <c r="AY35" s="131"/>
      <c r="AZ35" s="133"/>
      <c r="BA35" s="133"/>
      <c r="BB35" s="133"/>
      <c r="BC35" s="133"/>
      <c r="BD35" s="133"/>
      <c r="BE35" s="133"/>
    </row>
    <row r="36" spans="1:57" ht="3.75" customHeight="1">
      <c r="M36" s="17"/>
      <c r="N36" s="131"/>
      <c r="O36" s="144"/>
      <c r="P36" s="144"/>
      <c r="Q36" s="144"/>
      <c r="R36" s="144"/>
      <c r="S36" s="144"/>
      <c r="T36" s="145"/>
      <c r="U36" s="145"/>
      <c r="V36" s="142"/>
      <c r="W36" s="246"/>
      <c r="X36" s="246"/>
      <c r="Y36" s="138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83"/>
      <c r="AV36" s="186"/>
      <c r="AW36" s="186"/>
      <c r="AX36" s="186"/>
      <c r="AY36" s="131"/>
      <c r="AZ36" s="133"/>
      <c r="BA36" s="133"/>
      <c r="BB36" s="133"/>
      <c r="BC36" s="133"/>
      <c r="BD36" s="133"/>
      <c r="BE36" s="133"/>
    </row>
    <row r="37" spans="1:57" ht="16.5" customHeight="1">
      <c r="A37" s="245" t="s">
        <v>232</v>
      </c>
      <c r="M37" s="17"/>
      <c r="N37" s="131"/>
      <c r="O37" s="131"/>
      <c r="P37" s="138"/>
      <c r="Q37" s="138"/>
      <c r="R37" s="138"/>
      <c r="S37" s="138"/>
      <c r="T37" s="131"/>
      <c r="U37" s="131"/>
      <c r="V37" s="131"/>
      <c r="W37" s="142"/>
      <c r="X37" s="146"/>
      <c r="Y37" s="138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83"/>
      <c r="AV37" s="186"/>
      <c r="AW37" s="186"/>
      <c r="AX37" s="186"/>
      <c r="AY37" s="131"/>
      <c r="AZ37" s="133"/>
      <c r="BA37" s="133"/>
      <c r="BB37" s="133"/>
      <c r="BC37" s="133"/>
      <c r="BD37" s="133"/>
      <c r="BE37" s="133"/>
    </row>
    <row r="38" spans="1:57" ht="3" customHeight="1">
      <c r="M38" s="17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83"/>
      <c r="AV38" s="186"/>
      <c r="AW38" s="186"/>
      <c r="AX38" s="186"/>
      <c r="AY38" s="131"/>
      <c r="AZ38" s="133"/>
      <c r="BA38" s="133"/>
      <c r="BB38" s="133"/>
      <c r="BC38" s="133"/>
      <c r="BD38" s="133"/>
      <c r="BE38" s="133"/>
    </row>
    <row r="39" spans="1:57">
      <c r="A39" s="373" t="s">
        <v>186</v>
      </c>
      <c r="B39" s="373"/>
      <c r="C39" s="373" t="s">
        <v>187</v>
      </c>
      <c r="D39" s="373"/>
      <c r="E39" s="373" t="s">
        <v>126</v>
      </c>
      <c r="F39" s="373"/>
      <c r="M39" s="17"/>
      <c r="N39" s="147"/>
      <c r="O39" s="248"/>
      <c r="P39" s="248"/>
      <c r="Q39" s="248"/>
      <c r="R39" s="248"/>
      <c r="S39" s="248"/>
      <c r="T39" s="246"/>
      <c r="U39" s="147"/>
      <c r="V39" s="248"/>
      <c r="W39" s="248"/>
      <c r="X39" s="248"/>
      <c r="Y39" s="248"/>
      <c r="Z39" s="248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83"/>
      <c r="AV39" s="186"/>
      <c r="AW39" s="186"/>
      <c r="AX39" s="186"/>
      <c r="AY39" s="131"/>
      <c r="AZ39" s="133"/>
      <c r="BA39" s="133"/>
      <c r="BB39" s="133"/>
      <c r="BC39" s="133"/>
      <c r="BD39" s="133"/>
      <c r="BE39" s="133"/>
    </row>
    <row r="40" spans="1:57" ht="45" customHeight="1">
      <c r="A40" s="385" t="s">
        <v>200</v>
      </c>
      <c r="B40" s="386"/>
      <c r="C40" s="393"/>
      <c r="D40" s="394"/>
      <c r="E40" s="393"/>
      <c r="F40" s="393"/>
      <c r="M40" s="17"/>
      <c r="N40" s="248"/>
      <c r="O40" s="248"/>
      <c r="P40" s="248"/>
      <c r="Q40" s="248"/>
      <c r="R40" s="248"/>
      <c r="S40" s="248"/>
      <c r="T40" s="246"/>
      <c r="U40" s="248"/>
      <c r="V40" s="248"/>
      <c r="W40" s="248"/>
      <c r="X40" s="248"/>
      <c r="Y40" s="248"/>
      <c r="Z40" s="248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83"/>
      <c r="AV40" s="186"/>
      <c r="AW40" s="186"/>
      <c r="AX40" s="186"/>
      <c r="AY40" s="131"/>
      <c r="AZ40" s="133"/>
      <c r="BA40" s="133"/>
      <c r="BB40" s="133"/>
      <c r="BC40" s="133"/>
      <c r="BD40" s="133"/>
      <c r="BE40" s="133"/>
    </row>
    <row r="41" spans="1:57" ht="23.25" customHeight="1">
      <c r="A41" s="385" t="s">
        <v>241</v>
      </c>
      <c r="B41" s="386"/>
      <c r="C41" s="387"/>
      <c r="D41" s="388"/>
      <c r="E41" s="389"/>
      <c r="F41" s="390"/>
      <c r="M41" s="17"/>
      <c r="N41" s="248"/>
      <c r="O41" s="248"/>
      <c r="P41" s="248"/>
      <c r="Q41" s="248"/>
      <c r="R41" s="248"/>
      <c r="S41" s="248"/>
      <c r="T41" s="246"/>
      <c r="U41" s="248"/>
      <c r="V41" s="248"/>
      <c r="W41" s="248"/>
      <c r="X41" s="248"/>
      <c r="Y41" s="248"/>
      <c r="Z41" s="248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83"/>
      <c r="AV41" s="186"/>
      <c r="AW41" s="186"/>
      <c r="AX41" s="186"/>
      <c r="AY41" s="131"/>
      <c r="AZ41" s="133"/>
      <c r="BA41" s="133"/>
      <c r="BB41" s="133"/>
      <c r="BC41" s="133"/>
      <c r="BD41" s="133"/>
      <c r="BE41" s="133"/>
    </row>
    <row r="42" spans="1:57">
      <c r="A42" s="241" t="s">
        <v>353</v>
      </c>
      <c r="B42" s="241"/>
      <c r="C42" s="155" t="e">
        <f>IF(D42=U203,VLOOKUP(H225,KOBIZE!T7:X57,3),IF(D42=V203,VLOOKUP(H225,KOBIZE!T7:X57,4),"N/d"))</f>
        <v>#N/A</v>
      </c>
      <c r="D42" s="181" t="str">
        <f>IF(C41=O211,V203,IF(C41=O212,V203,IF(C41=O213,V203,IF(C41=O233,V203,IF(C41=O234,V203,IF(C41=H204,"N/d",U203))))))</f>
        <v>MJ/kg</v>
      </c>
      <c r="E42" s="224" t="e">
        <f>IF(F42=U203,VLOOKUP(J225,KOBIZE!T7:X57,3),IF(F42=V203,VLOOKUP(J225,KOBIZE!T7:X57,4),"N/d"))</f>
        <v>#N/A</v>
      </c>
      <c r="F42" s="222" t="str">
        <f>IF(E41=O211,V203,IF(E41=O212,V203,IF(E41=O213,V203,IF(E41=O233,V203,IF(E41=O234,V203,IF(E41=H204,"N/d",U203))))))</f>
        <v>MJ/kg</v>
      </c>
      <c r="M42" s="17"/>
      <c r="N42" s="248"/>
      <c r="O42" s="248"/>
      <c r="P42" s="248"/>
      <c r="Q42" s="248"/>
      <c r="R42" s="248"/>
      <c r="S42" s="248"/>
      <c r="T42" s="246"/>
      <c r="U42" s="248"/>
      <c r="V42" s="248"/>
      <c r="W42" s="248"/>
      <c r="X42" s="248"/>
      <c r="Y42" s="248"/>
      <c r="Z42" s="248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83"/>
      <c r="AV42" s="186"/>
      <c r="AW42" s="186"/>
      <c r="AX42" s="186"/>
      <c r="AY42" s="131"/>
      <c r="AZ42" s="133"/>
      <c r="BA42" s="133"/>
      <c r="BB42" s="133"/>
      <c r="BC42" s="133"/>
      <c r="BD42" s="133"/>
      <c r="BE42" s="133"/>
    </row>
    <row r="43" spans="1:57">
      <c r="A43" s="241" t="s">
        <v>195</v>
      </c>
      <c r="B43" s="241"/>
      <c r="C43" s="218">
        <f>IF(C41=H204,"N/d",IF(D20="mln m3",C20*10^6,IF(D20="m3",C20*E205,IF(D20="ton (Mg)",C20*1000))))</f>
        <v>0</v>
      </c>
      <c r="D43" s="221" t="str">
        <f>IF(D42=U203,"kg/rok",IF(D42=V203,"m3/rok","N/d"))</f>
        <v>kg/rok</v>
      </c>
      <c r="E43" s="218">
        <f>IF(E41=I204,"N/d",IF(F20="mln m3",E20*10^6,IF(F20="m3",E20*E205,IF(F20="ton (Mg)",E20*1000))))</f>
        <v>0</v>
      </c>
      <c r="F43" s="222" t="str">
        <f>IF(F42=U203,"kg/rok",IF(F42=V203,"m3/rok","N/d"))</f>
        <v>kg/rok</v>
      </c>
      <c r="I43" s="127"/>
      <c r="M43" s="17"/>
      <c r="N43" s="248"/>
      <c r="O43" s="248"/>
      <c r="P43" s="248"/>
      <c r="Q43" s="248"/>
      <c r="R43" s="248"/>
      <c r="S43" s="248"/>
      <c r="T43" s="131"/>
      <c r="U43" s="248"/>
      <c r="V43" s="248"/>
      <c r="W43" s="248"/>
      <c r="X43" s="248"/>
      <c r="Y43" s="248"/>
      <c r="Z43" s="248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83"/>
      <c r="AV43" s="186"/>
      <c r="AW43" s="186"/>
      <c r="AX43" s="186"/>
      <c r="AY43" s="131"/>
      <c r="AZ43" s="133"/>
      <c r="BA43" s="133"/>
      <c r="BB43" s="133"/>
      <c r="BC43" s="133"/>
      <c r="BD43" s="133"/>
      <c r="BE43" s="133"/>
    </row>
    <row r="44" spans="1:57" ht="16.5" customHeight="1">
      <c r="A44" s="395" t="s">
        <v>246</v>
      </c>
      <c r="B44" s="396"/>
      <c r="C44" s="397" t="e">
        <f>IF(C42&lt;&gt;"N/d",((C42*C43)/1000),"N/d")</f>
        <v>#N/A</v>
      </c>
      <c r="D44" s="398"/>
      <c r="E44" s="399" t="e">
        <f>IF(E42&lt;&gt;"N/d",((E42*E43)/1000),"N/d")</f>
        <v>#N/A</v>
      </c>
      <c r="F44" s="400"/>
      <c r="M44" s="17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83"/>
      <c r="AV44" s="186"/>
      <c r="AW44" s="186"/>
      <c r="AX44" s="186"/>
      <c r="AY44" s="131"/>
      <c r="AZ44" s="133"/>
      <c r="BA44" s="133"/>
      <c r="BB44" s="133"/>
      <c r="BC44" s="133"/>
      <c r="BD44" s="133"/>
      <c r="BE44" s="133"/>
    </row>
    <row r="45" spans="1:57" ht="17.25" customHeight="1">
      <c r="A45" s="401" t="s">
        <v>247</v>
      </c>
      <c r="B45" s="402"/>
      <c r="C45" s="403" t="e">
        <f>IF(C42&lt;&gt;"N/d",VLOOKUP(H225,KOBIZE!T7:X57,5),"N/d")</f>
        <v>#N/A</v>
      </c>
      <c r="D45" s="373"/>
      <c r="E45" s="403" t="e">
        <f>IF(E42&lt;&gt;"N/d",VLOOKUP(J225,KOBIZE!T7:X57,5),"N/d")</f>
        <v>#N/A</v>
      </c>
      <c r="F45" s="373"/>
      <c r="M45" s="17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83"/>
      <c r="AV45" s="186"/>
      <c r="AW45" s="186"/>
      <c r="AX45" s="186"/>
      <c r="AY45" s="131"/>
      <c r="AZ45" s="133"/>
      <c r="BA45" s="133"/>
      <c r="BB45" s="133"/>
      <c r="BC45" s="133"/>
      <c r="BD45" s="133"/>
      <c r="BE45" s="133"/>
    </row>
    <row r="46" spans="1:57" ht="3.75" customHeight="1">
      <c r="M46" s="17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83"/>
      <c r="AV46" s="186"/>
      <c r="AW46" s="186"/>
      <c r="AX46" s="186"/>
      <c r="AY46" s="131"/>
      <c r="AZ46" s="133"/>
      <c r="BA46" s="133"/>
      <c r="BB46" s="133"/>
      <c r="BC46" s="133"/>
      <c r="BD46" s="133"/>
      <c r="BE46" s="133"/>
    </row>
    <row r="47" spans="1:57">
      <c r="A47" s="384" t="s">
        <v>123</v>
      </c>
      <c r="B47" s="384"/>
      <c r="C47" s="373" t="s">
        <v>124</v>
      </c>
      <c r="D47" s="373"/>
      <c r="E47" s="373" t="s">
        <v>125</v>
      </c>
      <c r="F47" s="373"/>
      <c r="K47" s="2"/>
      <c r="L47" s="2"/>
      <c r="M47" s="130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87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83"/>
      <c r="AV47" s="186"/>
      <c r="AW47" s="186"/>
      <c r="AX47" s="186"/>
      <c r="AY47" s="131"/>
      <c r="AZ47" s="133"/>
      <c r="BA47" s="133"/>
      <c r="BB47" s="133"/>
      <c r="BC47" s="133"/>
      <c r="BD47" s="133"/>
      <c r="BE47" s="133"/>
    </row>
    <row r="48" spans="1:57">
      <c r="A48" s="384"/>
      <c r="B48" s="384"/>
      <c r="C48" s="220" t="s">
        <v>132</v>
      </c>
      <c r="D48" s="220" t="s">
        <v>126</v>
      </c>
      <c r="E48" s="220" t="s">
        <v>127</v>
      </c>
      <c r="F48" s="220" t="s">
        <v>128</v>
      </c>
      <c r="K48" s="173"/>
      <c r="L48" s="2"/>
      <c r="M48" s="249"/>
      <c r="N48" s="133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87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83"/>
      <c r="AV48" s="186"/>
      <c r="AW48" s="186"/>
      <c r="AX48" s="186"/>
      <c r="AY48" s="131"/>
      <c r="AZ48" s="133"/>
      <c r="BA48" s="133"/>
      <c r="BB48" s="133"/>
      <c r="BC48" s="133"/>
      <c r="BD48" s="133"/>
      <c r="BE48" s="133"/>
    </row>
    <row r="49" spans="1:57">
      <c r="A49" s="405">
        <v>1</v>
      </c>
      <c r="B49" s="406"/>
      <c r="C49" s="220">
        <v>2</v>
      </c>
      <c r="D49" s="220">
        <v>3</v>
      </c>
      <c r="E49" s="220">
        <v>4</v>
      </c>
      <c r="F49" s="220">
        <v>5</v>
      </c>
      <c r="K49" s="2"/>
      <c r="L49" s="2"/>
      <c r="M49" s="130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83"/>
      <c r="AV49" s="186"/>
      <c r="AW49" s="186"/>
      <c r="AX49" s="186"/>
      <c r="AY49" s="131"/>
      <c r="AZ49" s="133"/>
      <c r="BA49" s="133"/>
      <c r="BB49" s="133"/>
      <c r="BC49" s="133"/>
      <c r="BD49" s="133"/>
      <c r="BE49" s="133"/>
    </row>
    <row r="50" spans="1:57" ht="14.25" customHeight="1">
      <c r="A50" s="385" t="s">
        <v>309</v>
      </c>
      <c r="B50" s="386"/>
      <c r="C50" s="225" t="e">
        <f>IF(C44&lt;&gt;"N/d",C44*C45,"N/d")</f>
        <v>#N/A</v>
      </c>
      <c r="D50" s="225" t="e">
        <f>IF(E44&lt;&gt;"N/d",E44*E45,"0")</f>
        <v>#N/A</v>
      </c>
      <c r="E50" s="233" t="e">
        <f>IF(C50&lt;&gt;"N/d",C50-D50,"N/d")</f>
        <v>#N/A</v>
      </c>
      <c r="F50" s="219" t="e">
        <f>IF(C50&lt;&gt;"N/d",(E50/C50)*100,"N/d")</f>
        <v>#N/A</v>
      </c>
      <c r="M50" s="17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  <c r="AY50" s="131"/>
      <c r="AZ50" s="133"/>
      <c r="BA50" s="133"/>
      <c r="BB50" s="133"/>
      <c r="BC50" s="133"/>
      <c r="BD50" s="133"/>
      <c r="BE50" s="133"/>
    </row>
    <row r="51" spans="1:57">
      <c r="M51" s="17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3"/>
      <c r="BA51" s="133"/>
      <c r="BB51" s="133"/>
      <c r="BC51" s="133"/>
      <c r="BD51" s="133"/>
      <c r="BE51" s="133"/>
    </row>
    <row r="52" spans="1:57">
      <c r="M52" s="17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  <c r="AY52" s="131"/>
      <c r="AZ52" s="133"/>
      <c r="BA52" s="133"/>
      <c r="BB52" s="133"/>
      <c r="BC52" s="133"/>
      <c r="BD52" s="133"/>
      <c r="BE52" s="133"/>
    </row>
    <row r="53" spans="1:57">
      <c r="M53" s="17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3"/>
      <c r="BA53" s="133"/>
      <c r="BB53" s="133"/>
      <c r="BC53" s="133"/>
      <c r="BD53" s="133"/>
      <c r="BE53" s="133"/>
    </row>
    <row r="54" spans="1:57" ht="8.25" customHeight="1">
      <c r="I54" s="2"/>
      <c r="J54" s="2"/>
      <c r="K54" s="2"/>
      <c r="L54" s="2"/>
      <c r="M54" s="17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3"/>
      <c r="BA54" s="133"/>
      <c r="BB54" s="133"/>
      <c r="BC54" s="133"/>
      <c r="BD54" s="133"/>
      <c r="BE54" s="133"/>
    </row>
    <row r="55" spans="1:57" ht="13.5" customHeight="1">
      <c r="D55" s="176"/>
      <c r="E55" s="176"/>
      <c r="I55" s="2"/>
      <c r="J55" s="2"/>
      <c r="K55" s="2"/>
      <c r="L55" s="2"/>
      <c r="M55" s="17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3"/>
      <c r="BA55" s="133"/>
      <c r="BB55" s="133"/>
      <c r="BC55" s="133"/>
      <c r="BD55" s="133"/>
      <c r="BE55" s="133"/>
    </row>
    <row r="56" spans="1:57" ht="15">
      <c r="A56" s="175"/>
      <c r="B56" s="250">
        <f ca="1">TODAY()</f>
        <v>44550</v>
      </c>
      <c r="C56" s="175"/>
      <c r="D56" s="177" t="s">
        <v>209</v>
      </c>
      <c r="E56" s="178"/>
      <c r="F56" s="178"/>
      <c r="I56" s="2"/>
      <c r="J56" s="2"/>
      <c r="K56" s="2"/>
      <c r="L56" s="2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</row>
    <row r="57" spans="1:57" ht="15">
      <c r="B57" s="230" t="s">
        <v>223</v>
      </c>
      <c r="D57" s="179" t="s">
        <v>210</v>
      </c>
      <c r="E57" s="178"/>
      <c r="F57" s="178"/>
      <c r="I57" s="128"/>
      <c r="J57" s="2"/>
      <c r="K57" s="2"/>
      <c r="L57" s="2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</row>
    <row r="58" spans="1:57" ht="15">
      <c r="A58" s="180" t="s">
        <v>248</v>
      </c>
      <c r="B58" s="150"/>
      <c r="C58" s="150"/>
      <c r="D58" s="150"/>
      <c r="E58" s="150"/>
      <c r="F58" s="150"/>
      <c r="I58" s="2"/>
      <c r="J58" s="2"/>
      <c r="K58" s="2"/>
      <c r="L58" s="2"/>
      <c r="M58" s="129"/>
      <c r="N58" s="2"/>
    </row>
    <row r="59" spans="1:57" ht="27" customHeight="1">
      <c r="A59" s="404" t="s">
        <v>367</v>
      </c>
      <c r="B59" s="404"/>
      <c r="C59" s="404"/>
      <c r="D59" s="404"/>
      <c r="E59" s="404"/>
      <c r="F59" s="404"/>
      <c r="I59" s="2"/>
      <c r="J59" s="2"/>
      <c r="K59" s="2"/>
      <c r="L59" s="2"/>
      <c r="M59" s="2"/>
      <c r="N59" s="2"/>
    </row>
    <row r="60" spans="1:57" ht="27.75" customHeight="1">
      <c r="A60" s="404" t="s">
        <v>352</v>
      </c>
      <c r="B60" s="404"/>
      <c r="C60" s="404"/>
      <c r="D60" s="404"/>
      <c r="E60" s="404"/>
      <c r="F60" s="404"/>
      <c r="I60" s="2"/>
      <c r="J60" s="2"/>
      <c r="K60" s="2"/>
      <c r="L60" s="2"/>
      <c r="M60" s="2"/>
      <c r="N60" s="2"/>
    </row>
    <row r="61" spans="1:57">
      <c r="I61" s="2"/>
      <c r="J61" s="2"/>
      <c r="K61" s="2"/>
      <c r="L61" s="2"/>
      <c r="M61" s="2"/>
      <c r="N61" s="2"/>
    </row>
    <row r="62" spans="1:57">
      <c r="I62" s="2"/>
      <c r="J62" s="2"/>
      <c r="K62" s="2"/>
      <c r="L62" s="2"/>
      <c r="M62" s="2"/>
      <c r="N62" s="2"/>
    </row>
    <row r="63" spans="1:57">
      <c r="I63" s="2"/>
      <c r="J63" s="2"/>
      <c r="K63" s="2"/>
      <c r="L63" s="2"/>
      <c r="M63" s="2"/>
      <c r="N63" s="2"/>
    </row>
    <row r="64" spans="1:57" ht="15">
      <c r="I64" s="128"/>
      <c r="J64" s="2"/>
      <c r="K64" s="2"/>
      <c r="L64" s="2"/>
      <c r="M64" s="2"/>
      <c r="N64" s="2"/>
    </row>
    <row r="65" spans="1:14">
      <c r="I65" s="2"/>
      <c r="J65" s="2"/>
      <c r="K65" s="2"/>
      <c r="L65" s="2"/>
      <c r="M65" s="2"/>
      <c r="N65" s="2"/>
    </row>
    <row r="67" spans="1:14" ht="15">
      <c r="A67" s="178"/>
    </row>
    <row r="68" spans="1:14" ht="15">
      <c r="A68" s="178"/>
      <c r="B68" s="175"/>
      <c r="C68" s="175"/>
      <c r="D68" s="175"/>
      <c r="E68" s="175"/>
      <c r="F68" s="175"/>
    </row>
    <row r="69" spans="1:14" ht="15">
      <c r="A69" s="178"/>
      <c r="B69" s="175"/>
      <c r="D69" s="175"/>
      <c r="E69" s="175"/>
      <c r="F69" s="175"/>
    </row>
    <row r="70" spans="1:14" ht="15">
      <c r="A70" s="178"/>
      <c r="B70" s="175"/>
      <c r="C70" s="175"/>
      <c r="D70" s="175"/>
      <c r="E70" s="175"/>
      <c r="F70" s="175"/>
    </row>
    <row r="71" spans="1:14" ht="15">
      <c r="A71" s="178"/>
      <c r="B71" s="175"/>
      <c r="C71" s="175"/>
      <c r="D71" s="175"/>
      <c r="E71" s="175"/>
      <c r="F71" s="175"/>
    </row>
    <row r="72" spans="1:14" ht="15">
      <c r="A72" s="178"/>
      <c r="F72" s="175"/>
    </row>
    <row r="73" spans="1:14" ht="15">
      <c r="A73" s="178"/>
      <c r="B73" s="175"/>
      <c r="C73" s="175"/>
      <c r="D73" s="175"/>
      <c r="E73" s="175"/>
      <c r="F73" s="175"/>
    </row>
    <row r="74" spans="1:14" ht="15">
      <c r="A74" s="178"/>
      <c r="B74" s="175"/>
      <c r="C74" s="175"/>
      <c r="D74" s="175"/>
      <c r="E74" s="175"/>
      <c r="F74" s="175"/>
    </row>
    <row r="75" spans="1:14" ht="15">
      <c r="A75" s="178"/>
      <c r="B75" s="175"/>
      <c r="C75" s="175"/>
      <c r="D75" s="175"/>
      <c r="E75" s="175"/>
      <c r="F75" s="175"/>
    </row>
    <row r="76" spans="1:14" ht="15">
      <c r="A76" s="178"/>
      <c r="B76" s="175"/>
      <c r="C76" s="175"/>
      <c r="D76" s="175"/>
      <c r="E76" s="175"/>
      <c r="F76" s="175"/>
    </row>
    <row r="77" spans="1:14" ht="15">
      <c r="A77" s="178"/>
      <c r="B77" s="175"/>
      <c r="C77" s="175"/>
      <c r="D77" s="175"/>
      <c r="E77" s="175"/>
      <c r="F77" s="175"/>
    </row>
    <row r="78" spans="1:14" ht="15">
      <c r="A78" s="178"/>
      <c r="B78" s="175"/>
      <c r="C78" s="175"/>
      <c r="D78" s="175"/>
      <c r="E78" s="175"/>
      <c r="F78" s="175"/>
    </row>
    <row r="79" spans="1:14" ht="15">
      <c r="A79" s="178"/>
      <c r="B79" s="175"/>
      <c r="C79" s="175"/>
      <c r="D79" s="175"/>
      <c r="E79" s="175"/>
      <c r="F79" s="175"/>
    </row>
    <row r="80" spans="1:14" ht="15">
      <c r="A80" s="178"/>
      <c r="B80" s="175"/>
      <c r="C80" s="175"/>
      <c r="D80" s="175"/>
      <c r="E80" s="175"/>
      <c r="F80" s="175"/>
    </row>
    <row r="81" spans="1:17" ht="15">
      <c r="A81" s="178"/>
      <c r="B81" s="175"/>
      <c r="C81" s="175"/>
      <c r="D81" s="175"/>
      <c r="E81" s="175"/>
      <c r="F81" s="175"/>
    </row>
    <row r="82" spans="1:17">
      <c r="A82" s="175"/>
      <c r="B82" s="175"/>
      <c r="C82" s="175"/>
      <c r="D82" s="175"/>
      <c r="E82" s="175"/>
      <c r="F82" s="175"/>
    </row>
    <row r="86" spans="1:17" ht="15">
      <c r="D86" s="178"/>
      <c r="E86" s="178"/>
      <c r="F86" s="178"/>
    </row>
    <row r="87" spans="1:17" ht="15">
      <c r="A87" s="370"/>
      <c r="B87" s="370"/>
      <c r="C87" s="251"/>
    </row>
    <row r="88" spans="1:17" ht="15">
      <c r="A88" s="371"/>
      <c r="B88" s="371"/>
      <c r="C88" s="252"/>
      <c r="E88" s="178"/>
      <c r="F88" s="178"/>
    </row>
    <row r="89" spans="1:17" ht="15">
      <c r="A89" s="175"/>
      <c r="B89" s="178"/>
      <c r="C89" s="178"/>
      <c r="D89" s="178"/>
      <c r="E89" s="178"/>
      <c r="F89" s="178"/>
    </row>
    <row r="93" spans="1:17">
      <c r="Q93" s="127"/>
    </row>
    <row r="94" spans="1:17">
      <c r="Q94" s="127"/>
    </row>
    <row r="95" spans="1:17">
      <c r="Q95" s="127"/>
    </row>
    <row r="96" spans="1:17">
      <c r="Q96" s="127"/>
    </row>
    <row r="97" spans="2:20">
      <c r="Q97" s="127"/>
    </row>
    <row r="98" spans="2:20">
      <c r="O98" s="127"/>
      <c r="Q98" s="127"/>
    </row>
    <row r="99" spans="2:20">
      <c r="Q99" s="127"/>
    </row>
    <row r="100" spans="2:20" hidden="1">
      <c r="Q100" s="127"/>
    </row>
    <row r="101" spans="2:20" hidden="1">
      <c r="Q101" s="127"/>
    </row>
    <row r="102" spans="2:20" hidden="1">
      <c r="B102" s="372" t="s">
        <v>54</v>
      </c>
      <c r="C102" s="372"/>
      <c r="D102" s="372"/>
      <c r="E102" s="372"/>
      <c r="F102" s="372"/>
      <c r="G102" s="372"/>
      <c r="H102" s="372"/>
      <c r="I102" s="372"/>
      <c r="J102" s="372"/>
      <c r="Q102" s="127"/>
    </row>
    <row r="103" spans="2:20" hidden="1">
      <c r="B103" s="372"/>
      <c r="C103" s="372"/>
      <c r="D103" s="372"/>
      <c r="E103" s="372"/>
      <c r="F103" s="372"/>
      <c r="G103" s="372"/>
      <c r="H103" s="372"/>
      <c r="I103" s="372"/>
      <c r="J103" s="372"/>
      <c r="Q103" s="127"/>
    </row>
    <row r="104" spans="2:20" ht="18" hidden="1">
      <c r="B104" s="372" t="s">
        <v>218</v>
      </c>
      <c r="C104" s="372"/>
      <c r="D104" s="372"/>
      <c r="E104" s="217"/>
      <c r="F104" s="217"/>
      <c r="G104" s="217"/>
      <c r="H104" s="217"/>
      <c r="I104" s="217"/>
      <c r="J104" s="217"/>
    </row>
    <row r="105" spans="2:20" ht="15" hidden="1">
      <c r="B105" s="363"/>
      <c r="C105" s="363"/>
      <c r="D105" s="363"/>
      <c r="E105" s="363"/>
      <c r="F105" s="363"/>
      <c r="G105" s="363"/>
      <c r="H105" s="363"/>
      <c r="I105" s="363"/>
      <c r="J105" s="363"/>
      <c r="R105" s="1" t="s">
        <v>377</v>
      </c>
      <c r="T105" s="72" t="s">
        <v>32</v>
      </c>
    </row>
    <row r="106" spans="2:20" ht="18" hidden="1">
      <c r="B106" s="217"/>
      <c r="C106" s="217"/>
      <c r="D106" s="217"/>
      <c r="E106" s="217"/>
      <c r="F106" s="217"/>
      <c r="G106" s="217"/>
      <c r="H106" s="217"/>
      <c r="I106" s="217"/>
      <c r="J106" s="217"/>
      <c r="R106" s="1" t="s">
        <v>233</v>
      </c>
      <c r="T106" s="1" t="str">
        <f>IF(C11=$R$106,$R$116,IF(C11=$R$107,$R$117,IF(C11=$R$108,$R$119,IF(C11=$R$109,$R$118,IF(C11=$R$110,$R$121,IF(C11=$R$111,$R$115,IF(C11=$R$105,$R$123,"")))))))</f>
        <v/>
      </c>
    </row>
    <row r="107" spans="2:20" ht="20.25" hidden="1">
      <c r="B107" s="368" t="s">
        <v>32</v>
      </c>
      <c r="C107" s="368"/>
      <c r="D107" s="368"/>
      <c r="E107" s="368"/>
      <c r="F107" s="109"/>
      <c r="G107" s="368" t="s">
        <v>33</v>
      </c>
      <c r="H107" s="368"/>
      <c r="I107" s="368"/>
      <c r="J107" s="368"/>
      <c r="R107" s="1" t="s">
        <v>234</v>
      </c>
      <c r="T107" s="1" t="str">
        <f>IF(C11=R108,R120,"")</f>
        <v/>
      </c>
    </row>
    <row r="108" spans="2:20" ht="18" hidden="1">
      <c r="B108" s="217"/>
      <c r="C108" s="217"/>
      <c r="D108" s="217"/>
      <c r="E108" s="217"/>
      <c r="F108" s="109"/>
      <c r="G108" s="217"/>
      <c r="H108" s="217"/>
      <c r="I108" s="217"/>
      <c r="J108" s="217"/>
      <c r="R108" s="1" t="s">
        <v>236</v>
      </c>
    </row>
    <row r="109" spans="2:20" ht="18" hidden="1">
      <c r="B109" s="217"/>
      <c r="C109" s="217"/>
      <c r="D109" s="217"/>
      <c r="E109" s="217"/>
      <c r="F109" s="109"/>
      <c r="G109" s="217"/>
      <c r="H109" s="217"/>
      <c r="I109" s="217"/>
      <c r="J109" s="217"/>
      <c r="R109" s="1" t="s">
        <v>235</v>
      </c>
      <c r="T109" s="72" t="s">
        <v>33</v>
      </c>
    </row>
    <row r="110" spans="2:20" ht="18" hidden="1">
      <c r="B110" s="365" t="s">
        <v>219</v>
      </c>
      <c r="C110" s="365"/>
      <c r="D110" s="365"/>
      <c r="E110" s="365"/>
      <c r="F110" s="109"/>
      <c r="G110" s="365" t="s">
        <v>219</v>
      </c>
      <c r="H110" s="365"/>
      <c r="I110" s="365"/>
      <c r="J110" s="365"/>
      <c r="R110" s="1" t="s">
        <v>237</v>
      </c>
      <c r="T110" s="1" t="str">
        <f>IF(E11=$R$106,$R$116,IF(E11=$R$107,$R$117,IF(E11=$R$108,$R$119,IF(E11=$R$109,$R$118,IF(E11=$R$110,$R$121,IF(E11=$R$111,$R$115,IF(E11=$R$112,$R$122,IF(E11=$R$105,$R$123,""))))))))</f>
        <v/>
      </c>
    </row>
    <row r="111" spans="2:20" ht="18" hidden="1">
      <c r="B111" s="363"/>
      <c r="C111" s="363"/>
      <c r="D111" s="363"/>
      <c r="E111" s="363"/>
      <c r="F111" s="109"/>
      <c r="G111" s="364"/>
      <c r="H111" s="363"/>
      <c r="I111" s="363"/>
      <c r="J111" s="363"/>
      <c r="R111" s="1" t="s">
        <v>134</v>
      </c>
      <c r="T111" s="1" t="str">
        <f>IF(E11=R108,R120,"")</f>
        <v/>
      </c>
    </row>
    <row r="112" spans="2:20" ht="18" hidden="1">
      <c r="B112" s="217"/>
      <c r="C112" s="217"/>
      <c r="D112" s="217"/>
      <c r="E112" s="217"/>
      <c r="F112" s="109"/>
      <c r="G112" s="217"/>
      <c r="H112" s="217"/>
      <c r="I112" s="217"/>
      <c r="J112" s="217"/>
      <c r="R112" s="1" t="s">
        <v>342</v>
      </c>
    </row>
    <row r="113" spans="2:55" ht="18" hidden="1">
      <c r="B113" s="365" t="s">
        <v>227</v>
      </c>
      <c r="C113" s="365"/>
      <c r="D113" s="217"/>
      <c r="E113" s="217"/>
      <c r="F113" s="109"/>
      <c r="G113" s="365" t="s">
        <v>227</v>
      </c>
      <c r="H113" s="365"/>
      <c r="I113" s="217"/>
      <c r="J113" s="217"/>
    </row>
    <row r="114" spans="2:55" ht="25.5" hidden="1">
      <c r="B114" s="342"/>
      <c r="C114" s="342"/>
      <c r="D114" s="342"/>
      <c r="E114" s="366"/>
      <c r="F114" s="63"/>
      <c r="G114" s="367"/>
      <c r="H114" s="342"/>
      <c r="I114" s="342"/>
      <c r="J114" s="342"/>
      <c r="Q114" s="6"/>
      <c r="R114" s="7"/>
      <c r="AM114" s="2"/>
      <c r="AN114" s="4"/>
      <c r="AO114" s="5" t="s">
        <v>0</v>
      </c>
      <c r="AP114" s="75" t="s">
        <v>1</v>
      </c>
      <c r="AQ114" s="4"/>
      <c r="AR114" s="4"/>
      <c r="AS114" s="4"/>
      <c r="AT114" s="4"/>
      <c r="AU114" s="4"/>
      <c r="AV114" s="4"/>
      <c r="AW114" s="4"/>
      <c r="AX114" s="4"/>
      <c r="AY114" s="4"/>
      <c r="AZ114" s="2"/>
    </row>
    <row r="115" spans="2:55" ht="20.25" hidden="1">
      <c r="F115" s="63"/>
      <c r="M115" s="3" t="s">
        <v>32</v>
      </c>
      <c r="O115" s="3" t="s">
        <v>33</v>
      </c>
      <c r="Q115" s="6">
        <v>1</v>
      </c>
      <c r="R115" s="7" t="s">
        <v>134</v>
      </c>
      <c r="AM115" s="16"/>
      <c r="AN115" s="78" t="s">
        <v>4</v>
      </c>
      <c r="AO115" s="78" t="s">
        <v>5</v>
      </c>
      <c r="AP115" s="79" t="s">
        <v>5</v>
      </c>
      <c r="AQ115" s="78" t="s">
        <v>6</v>
      </c>
      <c r="AR115" s="80" t="s">
        <v>7</v>
      </c>
      <c r="AS115" s="78" t="s">
        <v>8</v>
      </c>
      <c r="AT115" s="9"/>
      <c r="AU115" s="9"/>
      <c r="AV115" s="9"/>
      <c r="AW115" s="9"/>
      <c r="AX115" s="9"/>
      <c r="AY115" s="9"/>
      <c r="AZ115" s="2"/>
    </row>
    <row r="116" spans="2:55" hidden="1">
      <c r="B116" s="359" t="s">
        <v>2</v>
      </c>
      <c r="C116" s="359"/>
      <c r="D116" s="359"/>
      <c r="E116" s="359"/>
      <c r="F116" s="63"/>
      <c r="G116" s="359" t="s">
        <v>2</v>
      </c>
      <c r="H116" s="359"/>
      <c r="I116" s="359"/>
      <c r="J116" s="359"/>
      <c r="Q116" s="6">
        <v>2</v>
      </c>
      <c r="R116" s="7" t="s">
        <v>163</v>
      </c>
      <c r="T116" s="6">
        <v>1</v>
      </c>
      <c r="U116" s="8" t="s">
        <v>3</v>
      </c>
      <c r="AM116" s="16">
        <v>0</v>
      </c>
      <c r="AN116" s="16">
        <v>0</v>
      </c>
      <c r="AO116" s="16">
        <v>0</v>
      </c>
      <c r="AP116" s="77">
        <v>0</v>
      </c>
      <c r="AQ116" s="16">
        <v>0</v>
      </c>
      <c r="AR116" s="16">
        <v>0</v>
      </c>
      <c r="AS116" s="16">
        <v>0</v>
      </c>
    </row>
    <row r="117" spans="2:55" ht="15" hidden="1" thickBot="1">
      <c r="F117" s="63"/>
      <c r="M117" s="1">
        <f>IF($C$13=$R$116,$Q$116,IF($C$13=$R$117,$Q$117,IF($C$13=$R$118,$Q$118,IF($C$13=$R$119,$Q$119,IF($C$13=$R$120,$Q$120,IF($C$13=$R$121,$Q$121,IF($C$13=$R$122,$Q$122,IF($C$13=$R$124,$Q$124,1))))))))</f>
        <v>0</v>
      </c>
      <c r="O117" s="1">
        <f>IF($E$13=$R$115,$Q$115,IF($E$13=$R$116,$Q$116,IF($E$13=$R$117,$Q$117,IF($E$13=$R$118,$Q$118,IF($E$13=$R$119,$Q$119,IF($E$13=$R$120,$Q$120,IF($E$13=$R$121,$Q$121,IF($E$13=$R$122,$Q$115,IF($E$13=$R$123,$Q$115,IF($E$13=$R$124,$Q$124,1))))))))))</f>
        <v>0</v>
      </c>
      <c r="Q117" s="6">
        <v>3</v>
      </c>
      <c r="R117" s="7" t="s">
        <v>18</v>
      </c>
      <c r="T117" s="6">
        <v>2</v>
      </c>
      <c r="U117" s="8" t="s">
        <v>9</v>
      </c>
      <c r="AK117" s="115" t="s">
        <v>171</v>
      </c>
      <c r="AL117" s="115"/>
      <c r="AM117" s="115">
        <v>100001</v>
      </c>
      <c r="AN117" s="116">
        <v>0</v>
      </c>
      <c r="AO117" s="116">
        <v>0</v>
      </c>
      <c r="AP117" s="117">
        <v>0</v>
      </c>
      <c r="AQ117" s="116">
        <v>0</v>
      </c>
      <c r="AR117" s="116">
        <v>0</v>
      </c>
      <c r="AS117" s="116">
        <v>0</v>
      </c>
      <c r="AT117" s="6"/>
      <c r="AV117" s="6"/>
      <c r="AW117" s="6"/>
      <c r="AX117" s="6"/>
      <c r="AY117" s="2"/>
      <c r="AZ117" s="7"/>
      <c r="BA117" s="10"/>
      <c r="BB117" s="10"/>
      <c r="BC117" s="7"/>
    </row>
    <row r="118" spans="2:55" hidden="1">
      <c r="B118" s="359"/>
      <c r="C118" s="359"/>
      <c r="D118" s="359"/>
      <c r="E118" s="359"/>
      <c r="F118" s="63"/>
      <c r="G118" s="359"/>
      <c r="H118" s="359"/>
      <c r="I118" s="359"/>
      <c r="J118" s="359"/>
      <c r="Q118" s="6">
        <v>4</v>
      </c>
      <c r="R118" s="7" t="s">
        <v>164</v>
      </c>
      <c r="AK118" s="344" t="s">
        <v>16</v>
      </c>
      <c r="AL118" s="118">
        <v>1</v>
      </c>
      <c r="AM118" s="118">
        <v>201001</v>
      </c>
      <c r="AN118" s="119">
        <v>17</v>
      </c>
      <c r="AO118" s="119">
        <v>4</v>
      </c>
      <c r="AP118" s="120"/>
      <c r="AQ118" s="120"/>
      <c r="AR118" s="119">
        <v>5</v>
      </c>
      <c r="AS118" s="119">
        <v>3</v>
      </c>
      <c r="AT118" s="6"/>
      <c r="AV118" s="6"/>
      <c r="AW118" s="6"/>
      <c r="AX118" s="6"/>
      <c r="AY118" s="2"/>
      <c r="AZ118" s="7"/>
      <c r="BA118" s="10"/>
      <c r="BB118" s="10"/>
      <c r="BC118" s="7"/>
    </row>
    <row r="119" spans="2:55" hidden="1">
      <c r="B119" s="359" t="s">
        <v>12</v>
      </c>
      <c r="C119" s="359"/>
      <c r="D119" s="359"/>
      <c r="E119" s="359"/>
      <c r="F119" s="63"/>
      <c r="G119" s="359" t="s">
        <v>12</v>
      </c>
      <c r="H119" s="359"/>
      <c r="I119" s="359"/>
      <c r="J119" s="359"/>
      <c r="Q119" s="6">
        <v>5</v>
      </c>
      <c r="R119" s="7" t="s">
        <v>168</v>
      </c>
      <c r="T119" s="6">
        <v>1</v>
      </c>
      <c r="U119" s="8" t="s">
        <v>13</v>
      </c>
      <c r="AK119" s="345"/>
      <c r="AL119" s="16">
        <v>2</v>
      </c>
      <c r="AM119" s="16">
        <v>201002</v>
      </c>
      <c r="AN119" s="35">
        <v>16</v>
      </c>
      <c r="AO119" s="35">
        <v>4</v>
      </c>
      <c r="AP119" s="76"/>
      <c r="AQ119" s="76"/>
      <c r="AR119" s="35">
        <v>10</v>
      </c>
      <c r="AS119" s="35">
        <v>2.5</v>
      </c>
      <c r="AT119" s="6"/>
      <c r="AV119" s="6"/>
      <c r="AW119" s="6"/>
      <c r="AX119" s="6"/>
      <c r="AY119" s="2"/>
      <c r="AZ119" s="7"/>
      <c r="BA119" s="10"/>
      <c r="BB119" s="10"/>
      <c r="BC119" s="7"/>
    </row>
    <row r="120" spans="2:55" hidden="1">
      <c r="F120" s="63"/>
      <c r="M120" s="1">
        <f>IF($C$15=$R$127,$Q$127,IF($C$15=$R$128,$Q$128,0))</f>
        <v>0</v>
      </c>
      <c r="O120" s="1">
        <f>IF($E$15=$R$127,$Q$127,IF($E$15=$R$128,$Q$128,0))</f>
        <v>0</v>
      </c>
      <c r="Q120" s="6">
        <v>6</v>
      </c>
      <c r="R120" s="7" t="s">
        <v>169</v>
      </c>
      <c r="T120" s="6">
        <v>2</v>
      </c>
      <c r="U120" s="8" t="s">
        <v>166</v>
      </c>
      <c r="AK120" s="345"/>
      <c r="AL120" s="16">
        <v>3</v>
      </c>
      <c r="AM120" s="16">
        <v>201003</v>
      </c>
      <c r="AN120" s="35">
        <v>16</v>
      </c>
      <c r="AO120" s="35">
        <v>4</v>
      </c>
      <c r="AP120" s="76"/>
      <c r="AQ120" s="76"/>
      <c r="AR120" s="35">
        <v>20</v>
      </c>
      <c r="AS120" s="35">
        <v>2</v>
      </c>
      <c r="AT120" s="6"/>
      <c r="AV120" s="6"/>
      <c r="AW120" s="6"/>
      <c r="AX120" s="6"/>
      <c r="AY120" s="2"/>
      <c r="AZ120" s="7"/>
      <c r="BA120" s="10"/>
      <c r="BB120" s="10"/>
      <c r="BC120" s="7"/>
    </row>
    <row r="121" spans="2:55" hidden="1">
      <c r="B121" s="359"/>
      <c r="C121" s="359"/>
      <c r="D121" s="359"/>
      <c r="E121" s="359"/>
      <c r="F121" s="63"/>
      <c r="G121" s="359"/>
      <c r="H121" s="359"/>
      <c r="I121" s="359"/>
      <c r="J121" s="359"/>
      <c r="Q121" s="6">
        <v>7</v>
      </c>
      <c r="R121" s="7" t="s">
        <v>165</v>
      </c>
      <c r="AK121" s="345"/>
      <c r="AL121" s="16">
        <v>4</v>
      </c>
      <c r="AM121" s="16">
        <v>202111</v>
      </c>
      <c r="AN121" s="35">
        <v>16</v>
      </c>
      <c r="AO121" s="35">
        <v>1</v>
      </c>
      <c r="AP121" s="76"/>
      <c r="AQ121" s="76"/>
      <c r="AR121" s="35">
        <v>45</v>
      </c>
      <c r="AS121" s="35">
        <v>1.5</v>
      </c>
      <c r="AT121" s="6"/>
      <c r="AV121" s="6"/>
      <c r="AW121" s="6"/>
      <c r="AX121" s="6"/>
      <c r="AY121" s="2"/>
      <c r="AZ121" s="7"/>
      <c r="BA121" s="10"/>
      <c r="BB121" s="10"/>
      <c r="BC121" s="7"/>
    </row>
    <row r="122" spans="2:55" hidden="1">
      <c r="B122" s="359" t="s">
        <v>28</v>
      </c>
      <c r="C122" s="359"/>
      <c r="D122" s="359"/>
      <c r="E122" s="359"/>
      <c r="F122" s="63"/>
      <c r="G122" s="359" t="s">
        <v>28</v>
      </c>
      <c r="H122" s="359"/>
      <c r="I122" s="359"/>
      <c r="J122" s="359"/>
      <c r="Q122" s="6">
        <v>8</v>
      </c>
      <c r="R122" s="7" t="s">
        <v>342</v>
      </c>
      <c r="T122" s="11">
        <v>1</v>
      </c>
      <c r="U122" s="8" t="s">
        <v>17</v>
      </c>
      <c r="AK122" s="345"/>
      <c r="AL122" s="16">
        <v>5</v>
      </c>
      <c r="AM122" s="16">
        <v>202112</v>
      </c>
      <c r="AN122" s="35">
        <v>16</v>
      </c>
      <c r="AO122" s="35">
        <v>1</v>
      </c>
      <c r="AP122" s="76"/>
      <c r="AQ122" s="76"/>
      <c r="AR122" s="35">
        <v>45</v>
      </c>
      <c r="AS122" s="35">
        <v>1.5</v>
      </c>
      <c r="AT122" s="6"/>
      <c r="AV122" s="6"/>
      <c r="AW122" s="6"/>
      <c r="AX122" s="6"/>
      <c r="AY122" s="2"/>
      <c r="AZ122" s="7"/>
      <c r="BA122" s="10"/>
      <c r="BB122" s="10"/>
      <c r="BC122" s="7"/>
    </row>
    <row r="123" spans="2:55" hidden="1">
      <c r="F123" s="63"/>
      <c r="M123" s="1">
        <f>IF($C$14=$U$116,$T$116,IF($C$14=$U$117,$T$117,0))</f>
        <v>0</v>
      </c>
      <c r="O123" s="1">
        <f>IF($E$14=$U$116,$T$116,IF($E$14=$U$117,$T$117,0))</f>
        <v>0</v>
      </c>
      <c r="Q123" s="6">
        <v>9</v>
      </c>
      <c r="R123" s="7" t="s">
        <v>377</v>
      </c>
      <c r="T123" s="11">
        <v>2</v>
      </c>
      <c r="U123" s="8" t="s">
        <v>19</v>
      </c>
      <c r="AK123" s="345"/>
      <c r="AL123" s="16">
        <v>6</v>
      </c>
      <c r="AM123" s="16">
        <v>202121</v>
      </c>
      <c r="AN123" s="35">
        <v>16</v>
      </c>
      <c r="AO123" s="35">
        <v>1.5</v>
      </c>
      <c r="AP123" s="76"/>
      <c r="AQ123" s="76"/>
      <c r="AR123" s="35">
        <v>45</v>
      </c>
      <c r="AS123" s="35">
        <v>2</v>
      </c>
      <c r="AT123" s="6"/>
      <c r="AV123" s="6"/>
      <c r="AW123" s="6"/>
      <c r="AX123" s="6"/>
      <c r="AY123" s="2"/>
      <c r="AZ123" s="7"/>
      <c r="BA123" s="10"/>
      <c r="BB123" s="10"/>
      <c r="BC123" s="7"/>
    </row>
    <row r="124" spans="2:55" hidden="1">
      <c r="B124" s="359"/>
      <c r="C124" s="359"/>
      <c r="D124" s="359"/>
      <c r="E124" s="359"/>
      <c r="F124" s="63"/>
      <c r="G124" s="359"/>
      <c r="H124" s="359"/>
      <c r="I124" s="359"/>
      <c r="J124" s="359"/>
      <c r="M124" s="1">
        <f>M117*1000+M120*100+M123*10</f>
        <v>0</v>
      </c>
      <c r="O124" s="1">
        <f>O117*1000+O120*100+O123*10</f>
        <v>0</v>
      </c>
      <c r="Q124" s="6"/>
      <c r="R124" s="7"/>
      <c r="AK124" s="345"/>
      <c r="AL124" s="16">
        <v>7</v>
      </c>
      <c r="AM124" s="16">
        <v>202122</v>
      </c>
      <c r="AN124" s="35">
        <v>16</v>
      </c>
      <c r="AO124" s="35">
        <v>1.5</v>
      </c>
      <c r="AP124" s="76"/>
      <c r="AQ124" s="76"/>
      <c r="AR124" s="35">
        <v>45</v>
      </c>
      <c r="AS124" s="35">
        <v>2</v>
      </c>
      <c r="AT124" s="6"/>
      <c r="AV124" s="6"/>
      <c r="AW124" s="6"/>
      <c r="AX124" s="6"/>
      <c r="AY124" s="2"/>
      <c r="AZ124" s="7"/>
      <c r="BA124" s="10"/>
      <c r="BB124" s="10"/>
      <c r="BC124" s="7"/>
    </row>
    <row r="125" spans="2:55" hidden="1">
      <c r="B125" s="359" t="s">
        <v>29</v>
      </c>
      <c r="C125" s="359"/>
      <c r="D125" s="359"/>
      <c r="E125" s="359"/>
      <c r="F125" s="63"/>
      <c r="G125" s="359" t="s">
        <v>29</v>
      </c>
      <c r="H125" s="359"/>
      <c r="I125" s="359"/>
      <c r="J125" s="359"/>
      <c r="Q125" s="6"/>
      <c r="T125" s="6">
        <v>1</v>
      </c>
      <c r="U125" s="7" t="s">
        <v>20</v>
      </c>
      <c r="AK125" s="345"/>
      <c r="AL125" s="16">
        <v>8</v>
      </c>
      <c r="AM125" s="16">
        <v>202211</v>
      </c>
      <c r="AN125" s="35">
        <v>16</v>
      </c>
      <c r="AO125" s="35">
        <v>1</v>
      </c>
      <c r="AP125" s="76"/>
      <c r="AQ125" s="76"/>
      <c r="AR125" s="35">
        <v>100</v>
      </c>
      <c r="AS125" s="35">
        <v>1.5</v>
      </c>
      <c r="AT125" s="6"/>
      <c r="AV125" s="6"/>
      <c r="AW125" s="6"/>
      <c r="AX125" s="6"/>
      <c r="AY125" s="2"/>
      <c r="AZ125" s="7"/>
      <c r="BA125" s="10"/>
      <c r="BB125" s="10"/>
      <c r="BC125" s="7"/>
    </row>
    <row r="126" spans="2:55" ht="15" hidden="1" thickBot="1">
      <c r="F126" s="63"/>
      <c r="M126" s="1">
        <f>IF($C$16=$U$119,$T$119,IF($C$16=$U$120,$T$120,0))</f>
        <v>0</v>
      </c>
      <c r="O126" s="1">
        <f>IF($E$16=$U$119,$T$119,IF($E$16=$U$120,$T$120,0))</f>
        <v>0</v>
      </c>
      <c r="Q126" s="6"/>
      <c r="T126" s="11">
        <v>2</v>
      </c>
      <c r="U126" s="7" t="s">
        <v>21</v>
      </c>
      <c r="AK126" s="346"/>
      <c r="AL126" s="115">
        <v>9</v>
      </c>
      <c r="AM126" s="115">
        <v>202221</v>
      </c>
      <c r="AN126" s="116">
        <v>16</v>
      </c>
      <c r="AO126" s="116">
        <v>1.5</v>
      </c>
      <c r="AP126" s="117"/>
      <c r="AQ126" s="117"/>
      <c r="AR126" s="116">
        <v>100</v>
      </c>
      <c r="AS126" s="116">
        <v>2</v>
      </c>
      <c r="AT126" s="6"/>
      <c r="AV126" s="6"/>
      <c r="AW126" s="6"/>
      <c r="AX126" s="6"/>
      <c r="AY126" s="2"/>
      <c r="AZ126" s="7"/>
      <c r="BA126" s="10"/>
      <c r="BB126" s="10"/>
      <c r="BC126" s="7"/>
    </row>
    <row r="127" spans="2:55" hidden="1">
      <c r="B127" s="359"/>
      <c r="C127" s="359"/>
      <c r="D127" s="359"/>
      <c r="E127" s="359"/>
      <c r="F127" s="63"/>
      <c r="G127" s="359"/>
      <c r="H127" s="359"/>
      <c r="I127" s="359"/>
      <c r="J127" s="359"/>
      <c r="Q127" s="6">
        <v>1</v>
      </c>
      <c r="R127" s="8" t="s">
        <v>133</v>
      </c>
      <c r="T127" s="11">
        <v>0</v>
      </c>
      <c r="U127" s="7" t="s">
        <v>22</v>
      </c>
      <c r="AK127" s="344" t="s">
        <v>18</v>
      </c>
      <c r="AL127" s="118">
        <v>1</v>
      </c>
      <c r="AM127" s="118">
        <v>301001</v>
      </c>
      <c r="AN127" s="119" t="s">
        <v>178</v>
      </c>
      <c r="AO127" s="119" t="s">
        <v>178</v>
      </c>
      <c r="AP127" s="120"/>
      <c r="AQ127" s="120"/>
      <c r="AR127" s="119" t="s">
        <v>178</v>
      </c>
      <c r="AS127" s="119" t="s">
        <v>178</v>
      </c>
      <c r="AT127" s="6"/>
      <c r="AV127" s="6"/>
      <c r="AW127" s="6"/>
      <c r="AX127" s="6"/>
      <c r="AY127" s="2"/>
      <c r="AZ127" s="7"/>
      <c r="BA127" s="10"/>
      <c r="BB127" s="10"/>
      <c r="BC127" s="7"/>
    </row>
    <row r="128" spans="2:55" hidden="1">
      <c r="B128" s="359" t="s">
        <v>30</v>
      </c>
      <c r="C128" s="359"/>
      <c r="D128" s="359"/>
      <c r="E128" s="359"/>
      <c r="F128" s="63"/>
      <c r="G128" s="359" t="s">
        <v>30</v>
      </c>
      <c r="H128" s="359"/>
      <c r="I128" s="359"/>
      <c r="J128" s="359"/>
      <c r="Q128" s="6">
        <v>2</v>
      </c>
      <c r="R128" s="8" t="s">
        <v>23</v>
      </c>
      <c r="AK128" s="345"/>
      <c r="AL128" s="16">
        <v>2</v>
      </c>
      <c r="AM128" s="16">
        <v>301002</v>
      </c>
      <c r="AN128" s="35" t="s">
        <v>178</v>
      </c>
      <c r="AO128" s="35" t="s">
        <v>178</v>
      </c>
      <c r="AP128" s="76"/>
      <c r="AQ128" s="76"/>
      <c r="AR128" s="35" t="s">
        <v>178</v>
      </c>
      <c r="AS128" s="35" t="s">
        <v>178</v>
      </c>
      <c r="AT128" s="6"/>
      <c r="AV128" s="6"/>
      <c r="AW128" s="6"/>
      <c r="AX128" s="6"/>
      <c r="AY128" s="2"/>
      <c r="AZ128" s="7"/>
      <c r="BA128" s="10"/>
      <c r="BB128" s="10"/>
      <c r="BC128" s="7"/>
    </row>
    <row r="129" spans="2:55" hidden="1">
      <c r="F129" s="63"/>
      <c r="M129" s="1">
        <f>IF($C$17=$U$122,$T$122,IF($C$17=$U$123,$T$123,0))</f>
        <v>0</v>
      </c>
      <c r="O129" s="1">
        <f>IF($E$17=$U$122,$T$122,IF($E$17=$U$123,$T$123,0))</f>
        <v>0</v>
      </c>
      <c r="T129" s="11">
        <v>1</v>
      </c>
      <c r="U129" s="8" t="s">
        <v>24</v>
      </c>
      <c r="AK129" s="345"/>
      <c r="AL129" s="16">
        <v>3</v>
      </c>
      <c r="AM129" s="16">
        <v>301003</v>
      </c>
      <c r="AN129" s="35" t="s">
        <v>178</v>
      </c>
      <c r="AO129" s="35" t="s">
        <v>178</v>
      </c>
      <c r="AP129" s="77"/>
      <c r="AQ129" s="76"/>
      <c r="AR129" s="35" t="s">
        <v>178</v>
      </c>
      <c r="AS129" s="35" t="s">
        <v>178</v>
      </c>
      <c r="AT129" s="6"/>
      <c r="AU129" s="6"/>
      <c r="AV129" s="6"/>
      <c r="AW129" s="6"/>
      <c r="AX129" s="6"/>
      <c r="AY129" s="2"/>
      <c r="AZ129" s="7"/>
      <c r="BA129" s="10"/>
      <c r="BB129" s="10"/>
      <c r="BC129" s="8"/>
    </row>
    <row r="130" spans="2:55" hidden="1">
      <c r="B130" s="359"/>
      <c r="C130" s="359"/>
      <c r="D130" s="359"/>
      <c r="E130" s="359"/>
      <c r="F130" s="63"/>
      <c r="G130" s="359"/>
      <c r="H130" s="359"/>
      <c r="I130" s="359"/>
      <c r="J130" s="359"/>
      <c r="M130" s="1">
        <f>M117*10000+M120*1000+M123*100+M126*10+M129</f>
        <v>0</v>
      </c>
      <c r="O130" s="1">
        <f>O117*10000+O120*1000+O123*100+O126*10+O129</f>
        <v>0</v>
      </c>
      <c r="T130" s="11">
        <v>2</v>
      </c>
      <c r="U130" s="8" t="s">
        <v>25</v>
      </c>
      <c r="AK130" s="345"/>
      <c r="AL130" s="16">
        <v>4</v>
      </c>
      <c r="AM130" s="16">
        <v>302111</v>
      </c>
      <c r="AN130" s="35">
        <v>16</v>
      </c>
      <c r="AO130" s="35">
        <v>1.5</v>
      </c>
      <c r="AP130" s="76"/>
      <c r="AQ130" s="76"/>
      <c r="AR130" s="35">
        <v>25</v>
      </c>
      <c r="AS130" s="35">
        <v>1.5</v>
      </c>
      <c r="AT130" s="6"/>
      <c r="AV130" s="6"/>
      <c r="AW130" s="6"/>
      <c r="AX130" s="6"/>
      <c r="AY130" s="2"/>
      <c r="AZ130" s="7"/>
      <c r="BA130" s="10"/>
      <c r="BB130" s="10"/>
      <c r="BC130" s="8"/>
    </row>
    <row r="131" spans="2:55" hidden="1">
      <c r="B131" s="359" t="s">
        <v>31</v>
      </c>
      <c r="C131" s="359"/>
      <c r="D131" s="359"/>
      <c r="E131" s="359"/>
      <c r="F131" s="63"/>
      <c r="G131" s="359" t="s">
        <v>31</v>
      </c>
      <c r="H131" s="359"/>
      <c r="I131" s="359"/>
      <c r="J131" s="359"/>
      <c r="Q131" s="6">
        <v>1</v>
      </c>
      <c r="R131" s="7" t="s">
        <v>10</v>
      </c>
      <c r="T131" s="11">
        <v>3</v>
      </c>
      <c r="U131" s="8" t="s">
        <v>26</v>
      </c>
      <c r="AK131" s="345"/>
      <c r="AL131" s="16">
        <v>5</v>
      </c>
      <c r="AM131" s="16">
        <v>302112</v>
      </c>
      <c r="AN131" s="35">
        <v>16</v>
      </c>
      <c r="AO131" s="35">
        <v>1.5</v>
      </c>
      <c r="AP131" s="76"/>
      <c r="AQ131" s="76"/>
      <c r="AR131" s="35">
        <v>25</v>
      </c>
      <c r="AS131" s="35">
        <v>1.5</v>
      </c>
      <c r="AT131" s="6"/>
      <c r="AV131" s="6"/>
      <c r="AW131" s="6"/>
      <c r="AX131" s="6"/>
      <c r="AY131" s="2"/>
      <c r="AZ131" s="7"/>
      <c r="BA131" s="10"/>
      <c r="BB131" s="10"/>
      <c r="BC131" s="8"/>
    </row>
    <row r="132" spans="2:55" hidden="1">
      <c r="F132" s="63"/>
      <c r="M132" s="1">
        <f>IF($C$18=$R$143,$Q$143,IF($C$18=$R$144,$Q$144,IF($C$18=$R$145,$Q$145,$Q$146)))</f>
        <v>4</v>
      </c>
      <c r="O132" s="1">
        <f>IF($E$18=$R$152,$Q$152,IF($E$18=$R$153,$Q$153,IF($E$18=$R$154,$Q$154,$Q$155)))</f>
        <v>4</v>
      </c>
      <c r="Q132" s="6">
        <v>2</v>
      </c>
      <c r="R132" s="7" t="s">
        <v>11</v>
      </c>
      <c r="AK132" s="345"/>
      <c r="AL132" s="16">
        <v>6</v>
      </c>
      <c r="AM132" s="16">
        <v>302121</v>
      </c>
      <c r="AN132" s="35">
        <v>16</v>
      </c>
      <c r="AO132" s="35">
        <v>2</v>
      </c>
      <c r="AP132" s="76"/>
      <c r="AQ132" s="76"/>
      <c r="AR132" s="35">
        <v>25</v>
      </c>
      <c r="AS132" s="35">
        <v>2</v>
      </c>
      <c r="AT132" s="6"/>
      <c r="AV132" s="6"/>
      <c r="AW132" s="6"/>
      <c r="AX132" s="6"/>
      <c r="AY132" s="2"/>
      <c r="AZ132" s="7"/>
      <c r="BA132" s="10"/>
      <c r="BB132" s="10"/>
      <c r="BC132" s="8"/>
    </row>
    <row r="133" spans="2:55" hidden="1">
      <c r="F133" s="63"/>
      <c r="Q133" s="6">
        <v>3</v>
      </c>
      <c r="R133" s="7" t="s">
        <v>27</v>
      </c>
      <c r="T133" s="6"/>
      <c r="U133" s="8"/>
      <c r="AK133" s="345"/>
      <c r="AL133" s="16">
        <v>7</v>
      </c>
      <c r="AM133" s="16">
        <v>302122</v>
      </c>
      <c r="AN133" s="35">
        <v>16</v>
      </c>
      <c r="AO133" s="35">
        <v>2</v>
      </c>
      <c r="AP133" s="76"/>
      <c r="AQ133" s="76"/>
      <c r="AR133" s="35">
        <v>25</v>
      </c>
      <c r="AS133" s="35">
        <v>2</v>
      </c>
      <c r="AT133" s="6"/>
      <c r="AU133" s="6"/>
      <c r="AV133" s="6"/>
      <c r="AW133" s="6"/>
      <c r="AX133" s="6"/>
      <c r="AY133" s="2"/>
      <c r="AZ133" s="7"/>
      <c r="BA133" s="10"/>
      <c r="BB133" s="10"/>
      <c r="BC133" s="8"/>
    </row>
    <row r="134" spans="2:55" hidden="1">
      <c r="B134" s="359" t="s">
        <v>34</v>
      </c>
      <c r="C134" s="359"/>
      <c r="D134" s="359"/>
      <c r="E134" s="359"/>
      <c r="F134" s="63"/>
      <c r="G134" s="359" t="s">
        <v>49</v>
      </c>
      <c r="H134" s="359"/>
      <c r="I134" s="359"/>
      <c r="J134" s="359"/>
      <c r="M134" s="1">
        <f>M132+M129*10+M126*100+M123*1000+M120*10000+M117*100000</f>
        <v>4</v>
      </c>
      <c r="O134" s="1">
        <f>O132+O129*10+O126*100+O123*1000+O120*10000+O117*100000</f>
        <v>4</v>
      </c>
      <c r="Q134" s="6">
        <v>4</v>
      </c>
      <c r="R134" s="7" t="s">
        <v>255</v>
      </c>
      <c r="T134" s="6"/>
      <c r="U134" s="8"/>
      <c r="AK134" s="345"/>
      <c r="AL134" s="16">
        <v>8</v>
      </c>
      <c r="AM134" s="16">
        <v>302211</v>
      </c>
      <c r="AN134" s="35">
        <v>16</v>
      </c>
      <c r="AO134" s="35">
        <v>1.5</v>
      </c>
      <c r="AP134" s="76"/>
      <c r="AQ134" s="76"/>
      <c r="AR134" s="35">
        <v>25</v>
      </c>
      <c r="AS134" s="35">
        <v>1.5</v>
      </c>
      <c r="AT134" s="6"/>
      <c r="AU134" s="6"/>
      <c r="AV134" s="6"/>
      <c r="AW134" s="6"/>
      <c r="AX134" s="6"/>
      <c r="AY134" s="2"/>
      <c r="AZ134" s="7"/>
      <c r="BA134" s="10"/>
      <c r="BB134" s="10"/>
      <c r="BC134" s="8"/>
    </row>
    <row r="135" spans="2:55" ht="15" hidden="1" thickBot="1">
      <c r="B135" s="12" t="s">
        <v>35</v>
      </c>
      <c r="C135" s="361"/>
      <c r="D135" s="362"/>
      <c r="F135" s="63"/>
      <c r="G135" s="12" t="s">
        <v>35</v>
      </c>
      <c r="H135" s="361"/>
      <c r="I135" s="362"/>
      <c r="R135" s="7" t="s">
        <v>14</v>
      </c>
      <c r="AK135" s="346"/>
      <c r="AL135" s="115">
        <v>9</v>
      </c>
      <c r="AM135" s="115">
        <v>302221</v>
      </c>
      <c r="AN135" s="116">
        <v>16</v>
      </c>
      <c r="AO135" s="116">
        <v>2</v>
      </c>
      <c r="AP135" s="117"/>
      <c r="AQ135" s="117"/>
      <c r="AR135" s="116">
        <v>25</v>
      </c>
      <c r="AS135" s="116">
        <v>2</v>
      </c>
      <c r="AT135" s="6"/>
      <c r="AU135" s="6"/>
      <c r="AV135" s="6"/>
      <c r="AW135" s="6"/>
      <c r="AX135" s="6"/>
      <c r="AY135" s="2"/>
      <c r="AZ135" s="7"/>
      <c r="BA135" s="10"/>
      <c r="BB135" s="10"/>
      <c r="BC135" s="8"/>
    </row>
    <row r="136" spans="2:55" hidden="1">
      <c r="D136" s="1" t="str">
        <f>IF($M$117=4,C135/0.73/1000000," ")</f>
        <v xml:space="preserve"> </v>
      </c>
      <c r="E136" s="1" t="str">
        <f>IF($M$117=4,"mln m3"," ")</f>
        <v xml:space="preserve"> </v>
      </c>
      <c r="F136" s="63"/>
      <c r="I136" s="1" t="str">
        <f>IF($O$117=4,H135/0.73/1000000," ")</f>
        <v xml:space="preserve"> </v>
      </c>
      <c r="J136" s="1" t="str">
        <f>IF($O$117=4,"mln m3"," ")</f>
        <v xml:space="preserve"> </v>
      </c>
      <c r="R136" s="7" t="s">
        <v>15</v>
      </c>
      <c r="AK136" s="344" t="s">
        <v>172</v>
      </c>
      <c r="AL136" s="118">
        <v>1</v>
      </c>
      <c r="AM136" s="118">
        <v>400001</v>
      </c>
      <c r="AN136" s="119">
        <v>19</v>
      </c>
      <c r="AO136" s="119">
        <v>6.5</v>
      </c>
      <c r="AP136" s="120"/>
      <c r="AQ136" s="120"/>
      <c r="AR136" s="119">
        <v>0.5</v>
      </c>
      <c r="AS136" s="119">
        <v>1</v>
      </c>
      <c r="AT136" s="6"/>
      <c r="AU136" s="6"/>
      <c r="AV136" s="6"/>
      <c r="AW136" s="6"/>
      <c r="AX136" s="6"/>
      <c r="AY136" s="2"/>
      <c r="AZ136" s="7"/>
      <c r="BA136" s="10"/>
      <c r="BB136" s="10"/>
      <c r="BC136" s="8"/>
    </row>
    <row r="137" spans="2:55" hidden="1">
      <c r="B137" s="359" t="s">
        <v>162</v>
      </c>
      <c r="C137" s="359"/>
      <c r="D137" s="359"/>
      <c r="E137" s="359"/>
      <c r="F137" s="63"/>
      <c r="G137" s="359" t="s">
        <v>162</v>
      </c>
      <c r="H137" s="359"/>
      <c r="I137" s="359"/>
      <c r="J137" s="359"/>
      <c r="Q137" s="11">
        <v>1</v>
      </c>
      <c r="R137" s="8" t="s">
        <v>170</v>
      </c>
      <c r="U137" s="1" t="str">
        <f>IF($O$124&lt;2020,$R$141,IF($O$124&lt;3010,$U$119:$U$120,IF($O$124=3010,$R$141,IF($O$124=3020,$U$119:$U$120,$R$141))))</f>
        <v>NIE DOTYCZY</v>
      </c>
      <c r="V137" s="1" t="e">
        <f>IF($O$117=1,$R$141,IF($O$117&lt;=3,$U$116:$U$117,IF($O$117&lt;=5,$R$141,$U$116:$U$117)))</f>
        <v>#VALUE!</v>
      </c>
      <c r="AK137" s="345"/>
      <c r="AL137" s="16">
        <v>2</v>
      </c>
      <c r="AM137" s="16">
        <v>400002</v>
      </c>
      <c r="AN137" s="35">
        <v>19</v>
      </c>
      <c r="AO137" s="35">
        <v>5</v>
      </c>
      <c r="AP137" s="76"/>
      <c r="AQ137" s="76"/>
      <c r="AR137" s="35">
        <v>0.5</v>
      </c>
      <c r="AS137" s="35">
        <v>2.75</v>
      </c>
      <c r="AT137" s="6"/>
      <c r="AU137" s="6"/>
      <c r="AV137" s="6"/>
      <c r="AW137" s="6"/>
      <c r="AX137" s="6"/>
      <c r="AY137" s="2"/>
      <c r="AZ137" s="7"/>
      <c r="BA137" s="10"/>
      <c r="BB137" s="10"/>
      <c r="BC137" s="8"/>
    </row>
    <row r="138" spans="2:55" hidden="1">
      <c r="B138" s="12" t="s">
        <v>36</v>
      </c>
      <c r="C138" s="361"/>
      <c r="D138" s="362"/>
      <c r="E138" s="13" t="s">
        <v>37</v>
      </c>
      <c r="F138" s="63"/>
      <c r="G138" s="12" t="s">
        <v>36</v>
      </c>
      <c r="H138" s="361"/>
      <c r="I138" s="362"/>
      <c r="J138" s="13" t="s">
        <v>37</v>
      </c>
      <c r="Q138" s="11">
        <v>2</v>
      </c>
      <c r="R138" s="8" t="s">
        <v>167</v>
      </c>
      <c r="U138" s="1" t="str">
        <f>IF($M$124&lt;2020,$R$141,IF($M$124&lt;3010,$U$122:$U$123,IF($M$124=3010,$R$141,IF($M$124=3020,$U$122:$U$123,$R$141))))</f>
        <v>NIE DOTYCZY</v>
      </c>
      <c r="AK138" s="345"/>
      <c r="AL138" s="16">
        <v>3</v>
      </c>
      <c r="AM138" s="16">
        <v>400003</v>
      </c>
      <c r="AN138" s="35">
        <v>19</v>
      </c>
      <c r="AO138" s="35">
        <v>5</v>
      </c>
      <c r="AP138" s="76"/>
      <c r="AQ138" s="76"/>
      <c r="AR138" s="35">
        <v>0.6</v>
      </c>
      <c r="AS138" s="35">
        <v>1.8</v>
      </c>
      <c r="AT138" s="6"/>
      <c r="AU138" s="6"/>
      <c r="AV138" s="6"/>
      <c r="AW138" s="6"/>
      <c r="AX138" s="6"/>
      <c r="AY138" s="2"/>
      <c r="AZ138" s="7"/>
      <c r="BA138" s="10"/>
      <c r="BB138" s="10"/>
      <c r="BC138" s="8"/>
    </row>
    <row r="139" spans="2:55" ht="15" hidden="1" thickBot="1">
      <c r="F139" s="63"/>
      <c r="Q139" s="11">
        <v>3</v>
      </c>
      <c r="R139" s="8" t="s">
        <v>260</v>
      </c>
      <c r="AK139" s="346"/>
      <c r="AL139" s="115">
        <v>4</v>
      </c>
      <c r="AM139" s="115">
        <v>400004</v>
      </c>
      <c r="AN139" s="116">
        <v>19</v>
      </c>
      <c r="AO139" s="116">
        <v>5</v>
      </c>
      <c r="AP139" s="117"/>
      <c r="AQ139" s="117"/>
      <c r="AR139" s="116">
        <v>0.4</v>
      </c>
      <c r="AS139" s="116">
        <v>1</v>
      </c>
      <c r="AT139" s="6"/>
      <c r="AU139" s="6"/>
      <c r="AV139" s="6"/>
      <c r="AW139" s="6"/>
      <c r="AX139" s="6"/>
      <c r="AY139" s="2"/>
      <c r="AZ139" s="7"/>
      <c r="BA139" s="10"/>
      <c r="BB139" s="10"/>
      <c r="BC139" s="8"/>
    </row>
    <row r="140" spans="2:55" hidden="1">
      <c r="B140" s="359" t="s">
        <v>38</v>
      </c>
      <c r="C140" s="359"/>
      <c r="D140" s="359"/>
      <c r="E140" s="359"/>
      <c r="F140" s="63"/>
      <c r="G140" s="359" t="s">
        <v>38</v>
      </c>
      <c r="H140" s="359"/>
      <c r="I140" s="359"/>
      <c r="J140" s="359"/>
      <c r="AJ140" s="360" t="s">
        <v>175</v>
      </c>
      <c r="AK140" s="345" t="s">
        <v>173</v>
      </c>
      <c r="AL140" s="33">
        <v>1</v>
      </c>
      <c r="AM140" s="33">
        <v>510001</v>
      </c>
      <c r="AN140" s="32">
        <v>2</v>
      </c>
      <c r="AO140" s="32">
        <v>4800</v>
      </c>
      <c r="AP140" s="114"/>
      <c r="AQ140" s="114"/>
      <c r="AR140" s="32">
        <v>270</v>
      </c>
      <c r="AS140" s="32">
        <v>12</v>
      </c>
      <c r="AT140" s="6"/>
      <c r="AU140" s="6"/>
      <c r="AV140" s="6"/>
      <c r="AW140" s="6"/>
      <c r="AX140" s="6"/>
      <c r="AY140" s="2"/>
      <c r="AZ140" s="7"/>
      <c r="BA140" s="10"/>
      <c r="BB140" s="10"/>
      <c r="BC140" s="8"/>
    </row>
    <row r="141" spans="2:55" hidden="1">
      <c r="B141" s="12" t="s">
        <v>39</v>
      </c>
      <c r="C141" s="361"/>
      <c r="D141" s="362"/>
      <c r="E141" s="13" t="s">
        <v>37</v>
      </c>
      <c r="F141" s="63"/>
      <c r="G141" s="12" t="s">
        <v>39</v>
      </c>
      <c r="H141" s="361"/>
      <c r="I141" s="362"/>
      <c r="J141" s="13" t="s">
        <v>37</v>
      </c>
      <c r="R141" s="8" t="s">
        <v>215</v>
      </c>
      <c r="AJ141" s="354"/>
      <c r="AK141" s="345"/>
      <c r="AL141" s="16">
        <v>2</v>
      </c>
      <c r="AM141" s="16">
        <v>510002</v>
      </c>
      <c r="AN141" s="35">
        <v>2</v>
      </c>
      <c r="AO141" s="35">
        <v>3700</v>
      </c>
      <c r="AP141" s="76"/>
      <c r="AQ141" s="76"/>
      <c r="AR141" s="35">
        <v>270</v>
      </c>
      <c r="AS141" s="35">
        <v>14.5</v>
      </c>
      <c r="AT141" s="6"/>
      <c r="AU141" s="6"/>
      <c r="AV141" s="6"/>
      <c r="AW141" s="11"/>
      <c r="AX141" s="6"/>
      <c r="AY141" s="2"/>
      <c r="AZ141" s="7"/>
      <c r="BA141" s="10"/>
      <c r="BB141" s="10"/>
      <c r="BC141" s="8"/>
    </row>
    <row r="142" spans="2:55" hidden="1">
      <c r="F142" s="63"/>
      <c r="Q142" s="1" t="s">
        <v>50</v>
      </c>
      <c r="AJ142" s="354"/>
      <c r="AK142" s="345"/>
      <c r="AL142" s="16">
        <v>3</v>
      </c>
      <c r="AM142" s="16">
        <v>510003</v>
      </c>
      <c r="AN142" s="35">
        <v>2</v>
      </c>
      <c r="AO142" s="35">
        <v>1920</v>
      </c>
      <c r="AP142" s="76"/>
      <c r="AQ142" s="76"/>
      <c r="AR142" s="35">
        <v>270</v>
      </c>
      <c r="AS142" s="35">
        <v>14.5</v>
      </c>
      <c r="AT142" s="6"/>
      <c r="AU142" s="6"/>
      <c r="AV142" s="6"/>
      <c r="AW142" s="11"/>
      <c r="AX142" s="6"/>
      <c r="AY142" s="2"/>
      <c r="AZ142" s="7"/>
      <c r="BA142" s="10"/>
      <c r="BB142" s="10"/>
      <c r="BC142" s="8"/>
    </row>
    <row r="143" spans="2:55" hidden="1">
      <c r="B143" s="359" t="s">
        <v>41</v>
      </c>
      <c r="C143" s="359"/>
      <c r="D143" s="359"/>
      <c r="E143" s="359"/>
      <c r="F143" s="63"/>
      <c r="G143" s="359" t="s">
        <v>41</v>
      </c>
      <c r="H143" s="359"/>
      <c r="I143" s="359"/>
      <c r="J143" s="359"/>
      <c r="Q143" s="1">
        <v>1</v>
      </c>
      <c r="R143" s="1" t="str">
        <f>IF($M$130&lt;=10100,$U$127,IF($M$130&lt;20101,$U$129,IF($M$130&lt;=20212,$U$125,IF($M$130&lt;=20222,$U$127,IF($M$130&lt;30101,$U$129,IF($M$130&lt;=30212,$U$125,IF($M$130&lt;=30222,$U$127,(IF($M$130&lt;=62000,$R$131,(IF($M$130&lt;=70100,$R$139,$R$137)))))))))))</f>
        <v>Cały zakres wydajności cieplnej</v>
      </c>
      <c r="AJ143" s="354"/>
      <c r="AK143" s="356"/>
      <c r="AL143" s="16">
        <v>4</v>
      </c>
      <c r="AM143" s="16">
        <v>510004</v>
      </c>
      <c r="AN143" s="35">
        <v>2</v>
      </c>
      <c r="AO143" s="35">
        <v>1280</v>
      </c>
      <c r="AP143" s="76"/>
      <c r="AQ143" s="76"/>
      <c r="AR143" s="35">
        <v>360</v>
      </c>
      <c r="AS143" s="35">
        <v>15</v>
      </c>
      <c r="AT143" s="6"/>
      <c r="AU143" s="6"/>
      <c r="AV143" s="6"/>
      <c r="AW143" s="6"/>
      <c r="AX143" s="6"/>
      <c r="AY143" s="2"/>
      <c r="AZ143" s="7"/>
      <c r="BC143" s="8"/>
    </row>
    <row r="144" spans="2:55" hidden="1">
      <c r="B144" s="12" t="s">
        <v>42</v>
      </c>
      <c r="C144" s="361"/>
      <c r="D144" s="362"/>
      <c r="E144" s="13" t="s">
        <v>37</v>
      </c>
      <c r="F144" s="63"/>
      <c r="G144" s="12" t="s">
        <v>42</v>
      </c>
      <c r="H144" s="361"/>
      <c r="I144" s="362"/>
      <c r="J144" s="13" t="s">
        <v>37</v>
      </c>
      <c r="Q144" s="1">
        <v>2</v>
      </c>
      <c r="R144" s="1" t="str">
        <f>IF($M$130&lt;=10100," ",IF($M$130&lt;20101,$U$130,IF($M$130&lt;=20212,$U$126,IF($M$130&lt;=20222," ",IF($M$130&lt;30101,$U$130,IF($M$130&lt;=30212,$U$126,IF($M$130&lt;=30222," ",IF($M$130&lt;=62000,$R$132,(IF($M$130&lt;=70100," ",$R$138))))))))))</f>
        <v xml:space="preserve"> </v>
      </c>
      <c r="AJ144" s="354"/>
      <c r="AK144" s="358" t="s">
        <v>174</v>
      </c>
      <c r="AL144" s="16">
        <v>1</v>
      </c>
      <c r="AM144" s="16">
        <v>520001</v>
      </c>
      <c r="AN144" s="35">
        <v>2</v>
      </c>
      <c r="AO144" s="35">
        <v>7500</v>
      </c>
      <c r="AP144" s="76"/>
      <c r="AQ144" s="76"/>
      <c r="AR144" s="35">
        <v>270</v>
      </c>
      <c r="AS144" s="35">
        <v>12</v>
      </c>
      <c r="AT144" s="6"/>
      <c r="AU144" s="6"/>
      <c r="AV144" s="6"/>
      <c r="AW144" s="6"/>
      <c r="AX144" s="6"/>
      <c r="AY144" s="2"/>
      <c r="AZ144" s="7"/>
      <c r="BC144" s="8"/>
    </row>
    <row r="145" spans="2:55" hidden="1">
      <c r="F145" s="63"/>
      <c r="Q145" s="1">
        <v>3</v>
      </c>
      <c r="R145" s="1" t="str">
        <f>IF($M$130&lt;=10100," ",IF($M$130&lt;20101,$U$131,IF($M$130&lt;=20222," ",IF($M$130&lt;30101,$U$131,IF($M$130&lt;=30222," ",IF($M$130&lt;=40000,$R$133,IF($M$130&lt;=62000,$R$135," ")))))))</f>
        <v xml:space="preserve"> </v>
      </c>
      <c r="AJ145" s="354"/>
      <c r="AK145" s="345"/>
      <c r="AL145" s="16">
        <v>2</v>
      </c>
      <c r="AM145" s="16">
        <v>520002</v>
      </c>
      <c r="AN145" s="35">
        <v>2</v>
      </c>
      <c r="AO145" s="35">
        <v>3700</v>
      </c>
      <c r="AP145" s="76"/>
      <c r="AQ145" s="76"/>
      <c r="AR145" s="35">
        <v>270</v>
      </c>
      <c r="AS145" s="35">
        <v>14.5</v>
      </c>
      <c r="AT145" s="6"/>
      <c r="AU145" s="6"/>
      <c r="AV145" s="6"/>
      <c r="AW145" s="6"/>
      <c r="AX145" s="6"/>
      <c r="AY145" s="2"/>
      <c r="AZ145" s="7"/>
      <c r="BC145" s="8"/>
    </row>
    <row r="146" spans="2:55" hidden="1">
      <c r="B146" s="359" t="s">
        <v>158</v>
      </c>
      <c r="C146" s="359"/>
      <c r="D146" s="359"/>
      <c r="E146" s="359"/>
      <c r="F146" s="63"/>
      <c r="G146" s="359" t="s">
        <v>158</v>
      </c>
      <c r="H146" s="359"/>
      <c r="I146" s="359"/>
      <c r="J146" s="359"/>
      <c r="Q146" s="1">
        <v>4</v>
      </c>
      <c r="R146" s="1" t="str">
        <f>IF($M$130&lt;=30222," ",IF($M$130&lt;=40000,$R$134,IF($M$130&lt;=62000,$R$136,IF($M$130&lt;=20222," ",IF($M$130=60000,$U$127," ")))))</f>
        <v xml:space="preserve"> </v>
      </c>
      <c r="AJ146" s="354"/>
      <c r="AK146" s="345"/>
      <c r="AL146" s="16">
        <v>3</v>
      </c>
      <c r="AM146" s="16">
        <v>520003</v>
      </c>
      <c r="AN146" s="35">
        <v>2</v>
      </c>
      <c r="AO146" s="35">
        <v>1920</v>
      </c>
      <c r="AP146" s="76"/>
      <c r="AQ146" s="76"/>
      <c r="AR146" s="35">
        <v>270</v>
      </c>
      <c r="AS146" s="35">
        <v>14.5</v>
      </c>
      <c r="AT146" s="6"/>
      <c r="AU146" s="6"/>
      <c r="AV146" s="6"/>
      <c r="AW146" s="6"/>
      <c r="AX146" s="6"/>
      <c r="AY146" s="2"/>
      <c r="AZ146" s="7"/>
      <c r="BC146" s="8"/>
    </row>
    <row r="147" spans="2:55" ht="19.5" hidden="1" thickBot="1">
      <c r="B147" s="74" t="s">
        <v>159</v>
      </c>
      <c r="C147" s="12" t="s">
        <v>40</v>
      </c>
      <c r="D147" s="253"/>
      <c r="E147" s="13" t="s">
        <v>37</v>
      </c>
      <c r="F147" s="63"/>
      <c r="G147" s="74" t="s">
        <v>159</v>
      </c>
      <c r="H147" s="12" t="s">
        <v>40</v>
      </c>
      <c r="I147" s="253"/>
      <c r="J147" s="13" t="s">
        <v>37</v>
      </c>
      <c r="AJ147" s="355"/>
      <c r="AK147" s="346"/>
      <c r="AL147" s="115">
        <v>4</v>
      </c>
      <c r="AM147" s="115">
        <v>520004</v>
      </c>
      <c r="AN147" s="116">
        <v>2</v>
      </c>
      <c r="AO147" s="116">
        <v>1280</v>
      </c>
      <c r="AP147" s="117"/>
      <c r="AQ147" s="117"/>
      <c r="AR147" s="116">
        <v>360</v>
      </c>
      <c r="AS147" s="116">
        <v>15</v>
      </c>
      <c r="AT147" s="6"/>
      <c r="AU147" s="6"/>
      <c r="AV147" s="6"/>
      <c r="AW147" s="6"/>
      <c r="AX147" s="6"/>
      <c r="AY147" s="2"/>
      <c r="AZ147" s="7"/>
      <c r="BC147" s="8"/>
    </row>
    <row r="148" spans="2:55" ht="18.75" hidden="1">
      <c r="B148" s="74" t="s">
        <v>160</v>
      </c>
      <c r="C148" s="12" t="s">
        <v>40</v>
      </c>
      <c r="D148" s="253"/>
      <c r="E148" s="13" t="s">
        <v>37</v>
      </c>
      <c r="F148" s="63"/>
      <c r="G148" s="74" t="s">
        <v>160</v>
      </c>
      <c r="H148" s="12" t="s">
        <v>40</v>
      </c>
      <c r="I148" s="253"/>
      <c r="J148" s="13" t="s">
        <v>37</v>
      </c>
      <c r="AJ148" s="353" t="s">
        <v>176</v>
      </c>
      <c r="AK148" s="344" t="s">
        <v>173</v>
      </c>
      <c r="AL148" s="118">
        <v>1</v>
      </c>
      <c r="AM148" s="118">
        <v>610001</v>
      </c>
      <c r="AN148" s="119">
        <v>1.4</v>
      </c>
      <c r="AO148" s="119">
        <v>3360</v>
      </c>
      <c r="AP148" s="120"/>
      <c r="AQ148" s="120"/>
      <c r="AR148" s="119">
        <v>190</v>
      </c>
      <c r="AS148" s="119">
        <v>8.5</v>
      </c>
      <c r="AT148" s="6"/>
      <c r="AU148" s="6"/>
      <c r="AV148" s="6"/>
      <c r="AW148" s="6"/>
      <c r="AX148" s="6"/>
      <c r="AY148" s="2"/>
      <c r="AZ148" s="7"/>
      <c r="BA148" s="10"/>
      <c r="BB148" s="10"/>
      <c r="BC148" s="8"/>
    </row>
    <row r="149" spans="2:55" hidden="1">
      <c r="B149" s="74" t="s">
        <v>7</v>
      </c>
      <c r="C149" s="12" t="s">
        <v>40</v>
      </c>
      <c r="D149" s="253"/>
      <c r="E149" s="13" t="s">
        <v>37</v>
      </c>
      <c r="F149" s="63"/>
      <c r="G149" s="74" t="s">
        <v>7</v>
      </c>
      <c r="H149" s="12" t="s">
        <v>40</v>
      </c>
      <c r="I149" s="253"/>
      <c r="J149" s="13" t="s">
        <v>37</v>
      </c>
      <c r="AJ149" s="354"/>
      <c r="AK149" s="345"/>
      <c r="AL149" s="16">
        <v>2</v>
      </c>
      <c r="AM149" s="16">
        <v>610002</v>
      </c>
      <c r="AN149" s="35">
        <v>1.4</v>
      </c>
      <c r="AO149" s="35">
        <v>2590</v>
      </c>
      <c r="AP149" s="76"/>
      <c r="AQ149" s="76"/>
      <c r="AR149" s="35">
        <v>190</v>
      </c>
      <c r="AS149" s="35">
        <v>10.1</v>
      </c>
      <c r="AT149" s="6"/>
      <c r="AU149" s="6"/>
      <c r="AV149" s="6"/>
      <c r="AW149" s="6"/>
      <c r="AX149" s="6"/>
      <c r="AY149" s="2"/>
      <c r="AZ149" s="7"/>
      <c r="BC149" s="8"/>
    </row>
    <row r="150" spans="2:55" hidden="1">
      <c r="B150" s="74" t="s">
        <v>161</v>
      </c>
      <c r="C150" s="12" t="s">
        <v>40</v>
      </c>
      <c r="D150" s="253">
        <v>0</v>
      </c>
      <c r="E150" s="13" t="s">
        <v>37</v>
      </c>
      <c r="F150" s="63"/>
      <c r="G150" s="74" t="s">
        <v>161</v>
      </c>
      <c r="H150" s="12" t="s">
        <v>40</v>
      </c>
      <c r="I150" s="253"/>
      <c r="J150" s="13" t="s">
        <v>37</v>
      </c>
      <c r="AJ150" s="354"/>
      <c r="AK150" s="345"/>
      <c r="AL150" s="16">
        <v>3</v>
      </c>
      <c r="AM150" s="16">
        <v>610003</v>
      </c>
      <c r="AN150" s="35">
        <v>1.4</v>
      </c>
      <c r="AO150" s="35">
        <v>1345</v>
      </c>
      <c r="AP150" s="76"/>
      <c r="AQ150" s="76"/>
      <c r="AR150" s="35">
        <v>190</v>
      </c>
      <c r="AS150" s="35">
        <v>10.1</v>
      </c>
      <c r="AT150" s="6"/>
      <c r="AU150" s="6"/>
      <c r="AV150" s="6"/>
      <c r="AW150" s="6"/>
      <c r="AX150" s="6"/>
      <c r="AY150" s="2"/>
      <c r="AZ150" s="7"/>
      <c r="BC150" s="8"/>
    </row>
    <row r="151" spans="2:55" hidden="1">
      <c r="F151" s="63"/>
      <c r="Q151" s="1" t="s">
        <v>51</v>
      </c>
      <c r="AJ151" s="354"/>
      <c r="AK151" s="356"/>
      <c r="AL151" s="16">
        <v>4</v>
      </c>
      <c r="AM151" s="16">
        <v>610004</v>
      </c>
      <c r="AN151" s="35">
        <v>1.4</v>
      </c>
      <c r="AO151" s="35">
        <v>900</v>
      </c>
      <c r="AP151" s="76"/>
      <c r="AQ151" s="76"/>
      <c r="AR151" s="35">
        <v>225</v>
      </c>
      <c r="AS151" s="35">
        <v>10.5</v>
      </c>
      <c r="AT151" s="6"/>
      <c r="AU151" s="6"/>
      <c r="AV151" s="6"/>
      <c r="AW151" s="6"/>
      <c r="AX151" s="6"/>
      <c r="AY151" s="2"/>
      <c r="AZ151" s="7"/>
      <c r="BA151" s="10"/>
      <c r="BB151" s="10"/>
      <c r="BC151" s="8"/>
    </row>
    <row r="152" spans="2:55" ht="15" hidden="1">
      <c r="B152" s="357" t="s">
        <v>53</v>
      </c>
      <c r="C152" s="357"/>
      <c r="D152" s="357"/>
      <c r="E152" s="357"/>
      <c r="F152" s="63"/>
      <c r="G152" s="357" t="s">
        <v>53</v>
      </c>
      <c r="H152" s="357"/>
      <c r="I152" s="357"/>
      <c r="J152" s="357"/>
      <c r="Q152" s="1">
        <v>1</v>
      </c>
      <c r="R152" s="1" t="str">
        <f>IF($O$130&lt;=10100,$U$127,IF($O$130&lt;20101,$U$129,IF($O$130&lt;=20212,$U$125,IF($O$130&lt;=20222,$U$127,IF($O$130&lt;30101,$U$129,IF($O$130&lt;=30212,$U$125,IF($O$130&lt;=30222,$U$127,(IF($O$130&lt;=62000,$R$131,(IF($O$130&lt;=70100,$R$139,$R$137)))))))))))</f>
        <v>Cały zakres wydajności cieplnej</v>
      </c>
      <c r="AJ152" s="354"/>
      <c r="AK152" s="358" t="s">
        <v>174</v>
      </c>
      <c r="AL152" s="16">
        <v>1</v>
      </c>
      <c r="AM152" s="16">
        <v>620001</v>
      </c>
      <c r="AN152" s="35">
        <v>1.4</v>
      </c>
      <c r="AO152" s="35">
        <v>5250</v>
      </c>
      <c r="AP152" s="77"/>
      <c r="AQ152" s="77"/>
      <c r="AR152" s="35">
        <v>190</v>
      </c>
      <c r="AS152" s="35">
        <v>8.5</v>
      </c>
    </row>
    <row r="153" spans="2:55" ht="18" hidden="1">
      <c r="B153" s="14" t="s">
        <v>45</v>
      </c>
      <c r="C153" s="188"/>
      <c r="E153" s="61" t="s">
        <v>48</v>
      </c>
      <c r="F153" s="63"/>
      <c r="G153" s="62" t="s">
        <v>45</v>
      </c>
      <c r="H153" s="188"/>
      <c r="I153" s="70">
        <f>IF($O$134&lt;301001,$H$135*$H$138*$O$153*(100-$I$147)/100,IF($O$134&lt;=301003,"Nie oblicza się",IF($O$134&lt;701001,$H$135*$H$138*$O$153*(100-$I$147)/100,$H$135*$O$153*(100-$I$147)/100)))</f>
        <v>0</v>
      </c>
      <c r="J153" s="16" t="s">
        <v>48</v>
      </c>
      <c r="M153" s="1">
        <f>VLOOKUP($M$134,$AM$116:$AS$158,2)</f>
        <v>0</v>
      </c>
      <c r="O153" s="1">
        <f>VLOOKUP($O$134,$AM$116:$AS$158,2)</f>
        <v>0</v>
      </c>
      <c r="Q153" s="1">
        <v>2</v>
      </c>
      <c r="R153" s="1" t="str">
        <f>IF($O$130&lt;=10100," ",IF($O$130&lt;20101,$U$130,IF($O$130&lt;=20212,$U$126,IF($O$130&lt;=20222," ",IF($O$130&lt;30101,$U$130,IF($O$130&lt;=30212,$U$126,IF($O$130&lt;=30222," ",IF($O$130&lt;=62000,$R$132,(IF($O$130&lt;=70100," ",$R$138))))))))))</f>
        <v xml:space="preserve"> </v>
      </c>
      <c r="AJ153" s="354"/>
      <c r="AK153" s="345"/>
      <c r="AL153" s="16">
        <v>2</v>
      </c>
      <c r="AM153" s="16">
        <v>620002</v>
      </c>
      <c r="AN153" s="35">
        <v>1.4</v>
      </c>
      <c r="AO153" s="35">
        <v>2590</v>
      </c>
      <c r="AP153" s="77"/>
      <c r="AQ153" s="77"/>
      <c r="AR153" s="35">
        <v>190</v>
      </c>
      <c r="AS153" s="35">
        <v>10.1</v>
      </c>
    </row>
    <row r="154" spans="2:55" ht="18" hidden="1">
      <c r="B154" s="14" t="s">
        <v>46</v>
      </c>
      <c r="C154" s="188"/>
      <c r="E154" s="61" t="s">
        <v>48</v>
      </c>
      <c r="F154" s="63"/>
      <c r="G154" s="62" t="s">
        <v>46</v>
      </c>
      <c r="H154" s="188"/>
      <c r="I154" s="15">
        <f>IF($O$134&lt;301001,$H$135*$O$154*(100-$I$148)/100,IF($O$134&lt;=301003,"Nie oblicza się",$H$135*$O$154*(100-$I$148)/100))</f>
        <v>0</v>
      </c>
      <c r="J154" s="16" t="s">
        <v>48</v>
      </c>
      <c r="M154" s="1">
        <f>VLOOKUP($M$134,$AM$116:$AS$158,3)</f>
        <v>0</v>
      </c>
      <c r="O154" s="1">
        <f>VLOOKUP($O$134,$AM$116:$AS$158,3)</f>
        <v>0</v>
      </c>
      <c r="Q154" s="1">
        <v>3</v>
      </c>
      <c r="R154" s="1" t="str">
        <f>IF($O$130&lt;=10100," ",IF($O$130&lt;20101,$U$131,IF($O$130&lt;=20222," ",IF($O$130&lt;30101,$U$131,IF($O$130&lt;=30222," ",IF($O$130&lt;=40000,$R$133,IF($O$130&lt;=62000,$R$135," ")))))))</f>
        <v xml:space="preserve"> </v>
      </c>
      <c r="AJ154" s="354"/>
      <c r="AK154" s="345"/>
      <c r="AL154" s="16">
        <v>3</v>
      </c>
      <c r="AM154" s="16">
        <v>620003</v>
      </c>
      <c r="AN154" s="35">
        <v>1.4</v>
      </c>
      <c r="AO154" s="35">
        <v>1345</v>
      </c>
      <c r="AP154" s="76"/>
      <c r="AQ154" s="76"/>
      <c r="AR154" s="35">
        <v>190</v>
      </c>
      <c r="AS154" s="35">
        <v>10.1</v>
      </c>
      <c r="AT154" s="6"/>
      <c r="AU154" s="6"/>
      <c r="AV154" s="6"/>
      <c r="AW154" s="6"/>
      <c r="AX154" s="6"/>
      <c r="AY154" s="6"/>
    </row>
    <row r="155" spans="2:55" ht="18.75" hidden="1" thickBot="1">
      <c r="B155" s="14" t="s">
        <v>47</v>
      </c>
      <c r="C155" s="188"/>
      <c r="E155" s="61" t="s">
        <v>48</v>
      </c>
      <c r="F155" s="63"/>
      <c r="G155" s="62" t="s">
        <v>47</v>
      </c>
      <c r="H155" s="188"/>
      <c r="I155" s="15" t="s">
        <v>179</v>
      </c>
      <c r="J155" s="16" t="s">
        <v>48</v>
      </c>
      <c r="M155" s="1">
        <f>VLOOKUP($M$134,$AM$116:$AS$158,5)</f>
        <v>0</v>
      </c>
      <c r="O155" s="1">
        <f>VLOOKUP($O$134,$AM$116:$AS$158,5)</f>
        <v>0</v>
      </c>
      <c r="Q155" s="1">
        <v>4</v>
      </c>
      <c r="R155" s="1" t="str">
        <f>IF($O$130&lt;=30222," ",IF($O$130&lt;=40000,$R$134,IF($O$130&lt;=62000,$R$136,IF($O$130&lt;=20222," ",IF($O$130=60000,$U$127," ")))))</f>
        <v xml:space="preserve"> </v>
      </c>
      <c r="AJ155" s="355"/>
      <c r="AK155" s="346"/>
      <c r="AL155" s="115">
        <v>4</v>
      </c>
      <c r="AM155" s="115">
        <v>620004</v>
      </c>
      <c r="AN155" s="116">
        <v>1.4</v>
      </c>
      <c r="AO155" s="116">
        <v>900</v>
      </c>
      <c r="AP155" s="117"/>
      <c r="AQ155" s="117"/>
      <c r="AR155" s="116">
        <v>225</v>
      </c>
      <c r="AS155" s="116">
        <v>10.5</v>
      </c>
      <c r="AT155" s="6"/>
      <c r="AU155" s="6"/>
      <c r="AV155" s="6"/>
      <c r="AW155" s="6"/>
      <c r="AX155" s="6"/>
      <c r="AY155" s="6"/>
    </row>
    <row r="156" spans="2:55" ht="15" hidden="1">
      <c r="B156" s="14" t="s">
        <v>43</v>
      </c>
      <c r="C156" s="188"/>
      <c r="E156" s="61" t="s">
        <v>48</v>
      </c>
      <c r="F156" s="63"/>
      <c r="G156" s="62" t="s">
        <v>43</v>
      </c>
      <c r="H156" s="188"/>
      <c r="I156" s="15">
        <f>IF($O$134&lt;301001,$H$135*$O$156*(100-$I$149)/100,IF($O$134&lt;=301003,"Nie oblicza się",$H$135*$O$156*(100-$I$149)/100))</f>
        <v>0</v>
      </c>
      <c r="J156" s="16" t="s">
        <v>48</v>
      </c>
      <c r="M156" s="1">
        <f>VLOOKUP($M$134,$AM$116:$AS$158,6)</f>
        <v>0</v>
      </c>
      <c r="O156" s="1">
        <f>VLOOKUP($O$134,$AM$116:$AS$158,6)</f>
        <v>0</v>
      </c>
      <c r="AK156" s="344" t="s">
        <v>177</v>
      </c>
      <c r="AL156" s="118">
        <v>1</v>
      </c>
      <c r="AM156" s="118">
        <v>701001</v>
      </c>
      <c r="AN156" s="119">
        <f>T172</f>
        <v>0.02</v>
      </c>
      <c r="AO156" s="119">
        <f>T173</f>
        <v>0.8</v>
      </c>
      <c r="AP156" s="121"/>
      <c r="AQ156" s="121">
        <f>T174</f>
        <v>0</v>
      </c>
      <c r="AR156" s="119">
        <f>T175</f>
        <v>11</v>
      </c>
      <c r="AS156" s="119">
        <f>T176</f>
        <v>2.5</v>
      </c>
      <c r="AY156" s="6"/>
    </row>
    <row r="157" spans="2:55" ht="15" hidden="1">
      <c r="B157" s="347" t="s">
        <v>44</v>
      </c>
      <c r="C157" s="348"/>
      <c r="E157" s="61" t="s">
        <v>48</v>
      </c>
      <c r="F157" s="63"/>
      <c r="G157" s="349" t="s">
        <v>44</v>
      </c>
      <c r="H157" s="348"/>
      <c r="I157" s="15">
        <f>IF($O$134&lt;301001,$H$135*$O$157*$H$141*(100-$I$150)/(100-$H$144),IF($O$134&lt;=301003,"Nie oblicza się",IF($O$134&lt;=302221,$H$135*$O$157*$H$141*(100-$I$150)/(100-$H$144),IF($O$134&lt;=701001,$H$135*$O$157*(100-$I$150)/(100-$H$144),$H$135*$O$157*$H$141*(100-$I$150)/(100-$H$144)))))</f>
        <v>0</v>
      </c>
      <c r="J157" s="16" t="s">
        <v>48</v>
      </c>
      <c r="M157" s="1">
        <f>VLOOKUP($M$134,$AM$116:$AS$158,7)</f>
        <v>0</v>
      </c>
      <c r="O157" s="1">
        <f>VLOOKUP($O$134,$AM$116:$AS$158,7)</f>
        <v>0</v>
      </c>
      <c r="AK157" s="345"/>
      <c r="AL157" s="16">
        <v>2</v>
      </c>
      <c r="AM157" s="16">
        <v>702001</v>
      </c>
      <c r="AN157" s="35">
        <f>Q172</f>
        <v>0.11</v>
      </c>
      <c r="AO157" s="35">
        <f>Q173</f>
        <v>1</v>
      </c>
      <c r="AP157" s="76"/>
      <c r="AQ157" s="76">
        <f>Q174</f>
        <v>0</v>
      </c>
      <c r="AR157" s="35">
        <f>Q175</f>
        <v>26</v>
      </c>
      <c r="AS157" s="35">
        <f>Q176</f>
        <v>1.5</v>
      </c>
      <c r="AT157" s="6"/>
      <c r="AU157" s="6"/>
      <c r="AV157" s="6"/>
      <c r="AW157" s="6"/>
      <c r="AX157" s="6"/>
      <c r="AY157" s="6"/>
    </row>
    <row r="158" spans="2:55" ht="15" hidden="1" thickBot="1">
      <c r="F158" s="63"/>
      <c r="AK158" s="346"/>
      <c r="AL158" s="115">
        <v>3</v>
      </c>
      <c r="AM158" s="115">
        <v>702002</v>
      </c>
      <c r="AN158" s="116">
        <f>S172</f>
        <v>0.11</v>
      </c>
      <c r="AO158" s="116">
        <f>S173</f>
        <v>0.95</v>
      </c>
      <c r="AP158" s="117"/>
      <c r="AQ158" s="117">
        <f>S174</f>
        <v>0</v>
      </c>
      <c r="AR158" s="116">
        <f>S175</f>
        <v>16</v>
      </c>
      <c r="AS158" s="116">
        <f>S176</f>
        <v>1.5</v>
      </c>
      <c r="AY158" s="6"/>
    </row>
    <row r="159" spans="2:55" ht="15" hidden="1">
      <c r="B159" s="350" t="s">
        <v>52</v>
      </c>
      <c r="C159" s="351"/>
      <c r="D159" s="351"/>
      <c r="E159" s="351"/>
      <c r="F159" s="351"/>
      <c r="G159" s="351"/>
      <c r="H159" s="351"/>
      <c r="I159" s="351"/>
      <c r="J159" s="352"/>
      <c r="AM159" s="2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</row>
    <row r="160" spans="2:55" ht="18" hidden="1">
      <c r="B160" s="64"/>
      <c r="C160" s="14" t="s">
        <v>45</v>
      </c>
      <c r="D160" s="188"/>
      <c r="F160" s="16" t="s">
        <v>48</v>
      </c>
      <c r="H160" s="2"/>
      <c r="I160" s="2"/>
      <c r="J160" s="65"/>
      <c r="AM160" s="2"/>
      <c r="AN160" s="78" t="s">
        <v>4</v>
      </c>
      <c r="AO160" s="78" t="s">
        <v>5</v>
      </c>
      <c r="AP160" s="79" t="s">
        <v>5</v>
      </c>
      <c r="AQ160" s="78" t="s">
        <v>6</v>
      </c>
      <c r="AR160" s="80" t="s">
        <v>7</v>
      </c>
      <c r="AS160" s="78" t="s">
        <v>8</v>
      </c>
      <c r="AT160" s="6"/>
      <c r="AU160" s="6"/>
      <c r="AV160" s="6"/>
      <c r="AW160" s="6"/>
      <c r="AX160" s="6"/>
    </row>
    <row r="161" spans="2:45" ht="18" hidden="1">
      <c r="B161" s="64"/>
      <c r="C161" s="14" t="s">
        <v>46</v>
      </c>
      <c r="D161" s="188"/>
      <c r="F161" s="16" t="s">
        <v>48</v>
      </c>
      <c r="H161" s="2"/>
      <c r="I161" s="2"/>
      <c r="J161" s="65"/>
      <c r="AM161" s="2"/>
      <c r="AN161" s="6"/>
      <c r="AO161" s="6"/>
      <c r="AP161" s="6"/>
      <c r="AQ161" s="6"/>
      <c r="AR161" s="6"/>
      <c r="AS161" s="6"/>
    </row>
    <row r="162" spans="2:45" ht="18" hidden="1">
      <c r="B162" s="64"/>
      <c r="C162" s="14" t="s">
        <v>47</v>
      </c>
      <c r="D162" s="188"/>
      <c r="F162" s="16" t="s">
        <v>48</v>
      </c>
      <c r="H162" s="2"/>
      <c r="I162" s="2"/>
      <c r="J162" s="65"/>
      <c r="AM162" s="2"/>
      <c r="AN162" s="6"/>
      <c r="AO162" s="6"/>
      <c r="AP162" s="6"/>
      <c r="AQ162" s="6"/>
      <c r="AR162" s="6"/>
      <c r="AS162" s="6"/>
    </row>
    <row r="163" spans="2:45" ht="15" hidden="1">
      <c r="B163" s="64"/>
      <c r="C163" s="14" t="s">
        <v>43</v>
      </c>
      <c r="D163" s="188"/>
      <c r="F163" s="16" t="s">
        <v>48</v>
      </c>
      <c r="H163" s="2"/>
      <c r="I163" s="2"/>
      <c r="J163" s="65"/>
      <c r="AM163" s="2"/>
      <c r="AN163" s="6"/>
      <c r="AO163" s="6"/>
      <c r="AP163" s="6"/>
      <c r="AQ163" s="6"/>
      <c r="AR163" s="6"/>
      <c r="AS163" s="6"/>
    </row>
    <row r="164" spans="2:45" ht="15" hidden="1">
      <c r="B164" s="64"/>
      <c r="C164" s="347" t="s">
        <v>44</v>
      </c>
      <c r="D164" s="348"/>
      <c r="F164" s="16" t="s">
        <v>48</v>
      </c>
      <c r="H164" s="2"/>
      <c r="I164" s="2"/>
      <c r="J164" s="65"/>
      <c r="AM164" s="2"/>
      <c r="AN164" s="6"/>
      <c r="AO164" s="6"/>
      <c r="AP164" s="6"/>
      <c r="AQ164" s="6"/>
      <c r="AR164" s="6"/>
      <c r="AS164" s="6"/>
    </row>
    <row r="165" spans="2:45" hidden="1">
      <c r="B165" s="66"/>
      <c r="C165" s="67"/>
      <c r="D165" s="67"/>
      <c r="E165" s="67"/>
      <c r="F165" s="67"/>
      <c r="G165" s="67"/>
      <c r="H165" s="67"/>
      <c r="I165" s="67"/>
      <c r="J165" s="68"/>
      <c r="AM165" s="2"/>
      <c r="AN165" s="6"/>
      <c r="AO165" s="6"/>
      <c r="AP165" s="6"/>
      <c r="AQ165" s="6"/>
      <c r="AR165" s="6"/>
      <c r="AS165" s="6"/>
    </row>
    <row r="166" spans="2:45" hidden="1">
      <c r="AM166" s="2"/>
      <c r="AN166" s="6"/>
      <c r="AO166" s="6"/>
      <c r="AP166" s="6"/>
      <c r="AQ166" s="6"/>
      <c r="AR166" s="6"/>
      <c r="AS166" s="6"/>
    </row>
    <row r="167" spans="2:45" hidden="1">
      <c r="AM167" s="2"/>
      <c r="AN167" s="6"/>
      <c r="AO167" s="6"/>
      <c r="AP167" s="6"/>
      <c r="AQ167" s="6"/>
      <c r="AR167" s="6"/>
      <c r="AS167" s="6"/>
    </row>
    <row r="168" spans="2:45" hidden="1">
      <c r="B168" s="343" t="s">
        <v>220</v>
      </c>
      <c r="C168" s="343"/>
      <c r="D168" s="343"/>
      <c r="E168" s="343"/>
      <c r="AM168" s="2"/>
      <c r="AN168" s="6"/>
      <c r="AO168" s="6"/>
      <c r="AP168" s="6"/>
      <c r="AQ168" s="6"/>
      <c r="AR168" s="6"/>
      <c r="AS168" s="6"/>
    </row>
    <row r="169" spans="2:45" ht="15" hidden="1">
      <c r="B169" s="342"/>
      <c r="C169" s="342"/>
      <c r="D169" s="342"/>
      <c r="E169" s="342"/>
      <c r="O169" s="72" t="s">
        <v>180</v>
      </c>
      <c r="AM169" s="2"/>
      <c r="AN169" s="6"/>
      <c r="AO169" s="6"/>
      <c r="AP169" s="6"/>
      <c r="AQ169" s="6"/>
      <c r="AR169" s="6"/>
      <c r="AS169" s="6"/>
    </row>
    <row r="170" spans="2:45" ht="15" hidden="1">
      <c r="O170" s="72"/>
      <c r="Q170" s="341" t="s">
        <v>9</v>
      </c>
      <c r="R170" s="341"/>
      <c r="S170" s="341"/>
      <c r="T170" s="341" t="s">
        <v>3</v>
      </c>
      <c r="U170" s="341"/>
      <c r="V170" s="341"/>
      <c r="AM170" s="2"/>
      <c r="AN170" s="6"/>
      <c r="AO170" s="6"/>
      <c r="AP170" s="6"/>
      <c r="AQ170" s="6"/>
      <c r="AR170" s="6"/>
      <c r="AS170" s="6"/>
    </row>
    <row r="171" spans="2:45" ht="15" hidden="1">
      <c r="B171" s="343" t="s">
        <v>221</v>
      </c>
      <c r="C171" s="343"/>
      <c r="D171" s="343"/>
      <c r="E171" s="343"/>
      <c r="O171" s="72"/>
      <c r="Q171" s="16" t="s">
        <v>181</v>
      </c>
      <c r="R171" s="16"/>
      <c r="S171" s="16" t="s">
        <v>182</v>
      </c>
      <c r="T171" s="341" t="s">
        <v>259</v>
      </c>
      <c r="U171" s="341"/>
      <c r="V171" s="341"/>
      <c r="AM171" s="2"/>
      <c r="AN171" s="6"/>
      <c r="AO171" s="6"/>
      <c r="AP171" s="6"/>
      <c r="AQ171" s="6"/>
      <c r="AR171" s="6"/>
      <c r="AS171" s="6"/>
    </row>
    <row r="172" spans="2:45" ht="18" hidden="1">
      <c r="B172" s="342"/>
      <c r="C172" s="342"/>
      <c r="D172" s="342"/>
      <c r="E172" s="342"/>
      <c r="O172" s="14" t="s">
        <v>45</v>
      </c>
      <c r="P172" s="188"/>
      <c r="Q172" s="254">
        <v>0.11</v>
      </c>
      <c r="R172" s="33"/>
      <c r="S172" s="33">
        <v>0.11</v>
      </c>
      <c r="T172" s="333">
        <v>0.02</v>
      </c>
      <c r="U172" s="334"/>
      <c r="V172" s="335"/>
      <c r="AM172" s="2"/>
      <c r="AN172" s="6"/>
      <c r="AO172" s="6"/>
      <c r="AQ172" s="6"/>
      <c r="AR172" s="6"/>
      <c r="AS172" s="6"/>
    </row>
    <row r="173" spans="2:45" ht="18" hidden="1">
      <c r="O173" s="14" t="s">
        <v>46</v>
      </c>
      <c r="P173" s="188"/>
      <c r="Q173" s="255">
        <v>1</v>
      </c>
      <c r="R173" s="16"/>
      <c r="S173" s="16">
        <v>0.95</v>
      </c>
      <c r="T173" s="333">
        <v>0.8</v>
      </c>
      <c r="U173" s="334"/>
      <c r="V173" s="335"/>
      <c r="AM173" s="2"/>
      <c r="AN173" s="6"/>
      <c r="AO173" s="6"/>
      <c r="AP173" s="6"/>
      <c r="AQ173" s="6"/>
      <c r="AR173" s="6"/>
      <c r="AS173" s="6"/>
    </row>
    <row r="174" spans="2:45" ht="18" hidden="1">
      <c r="B174" s="343" t="s">
        <v>222</v>
      </c>
      <c r="C174" s="343"/>
      <c r="O174" s="14" t="s">
        <v>47</v>
      </c>
      <c r="P174" s="188"/>
      <c r="Q174" s="255">
        <v>0</v>
      </c>
      <c r="R174" s="16"/>
      <c r="S174" s="16">
        <v>0</v>
      </c>
      <c r="T174" s="333">
        <v>0</v>
      </c>
      <c r="U174" s="334"/>
      <c r="V174" s="335"/>
      <c r="AM174" s="2"/>
      <c r="AN174" s="6"/>
      <c r="AO174" s="6"/>
      <c r="AP174" s="6"/>
      <c r="AQ174" s="6"/>
      <c r="AR174" s="6"/>
      <c r="AS174" s="6"/>
    </row>
    <row r="175" spans="2:45" ht="15" hidden="1">
      <c r="B175" s="342"/>
      <c r="C175" s="342"/>
      <c r="D175" s="342"/>
      <c r="E175" s="342"/>
      <c r="O175" s="14" t="s">
        <v>43</v>
      </c>
      <c r="P175" s="188"/>
      <c r="Q175" s="255">
        <v>26</v>
      </c>
      <c r="R175" s="16"/>
      <c r="S175" s="16">
        <v>16</v>
      </c>
      <c r="T175" s="333">
        <v>11</v>
      </c>
      <c r="U175" s="334"/>
      <c r="V175" s="335"/>
      <c r="AM175" s="2"/>
      <c r="AN175" s="6"/>
      <c r="AO175" s="6"/>
      <c r="AP175" s="6"/>
      <c r="AQ175" s="6"/>
      <c r="AR175" s="6"/>
      <c r="AS175" s="6"/>
    </row>
    <row r="176" spans="2:45" ht="15" hidden="1">
      <c r="O176" s="331" t="s">
        <v>44</v>
      </c>
      <c r="P176" s="332"/>
      <c r="Q176" s="255">
        <v>1.5</v>
      </c>
      <c r="R176" s="16"/>
      <c r="S176" s="16">
        <v>1.5</v>
      </c>
      <c r="T176" s="333">
        <v>2.5</v>
      </c>
      <c r="U176" s="334"/>
      <c r="V176" s="335"/>
      <c r="AM176" s="2"/>
      <c r="AN176" s="6"/>
      <c r="AO176" s="6"/>
      <c r="AP176" s="6"/>
      <c r="AQ176" s="6"/>
      <c r="AR176" s="6"/>
      <c r="AS176" s="6"/>
    </row>
    <row r="177" spans="15:45" ht="15" hidden="1">
      <c r="O177" s="72" t="s">
        <v>143</v>
      </c>
      <c r="AM177" s="2"/>
      <c r="AN177" s="6"/>
      <c r="AO177" s="6"/>
      <c r="AP177" s="6"/>
      <c r="AQ177" s="6"/>
      <c r="AR177" s="6"/>
      <c r="AS177" s="6"/>
    </row>
    <row r="178" spans="15:45" hidden="1">
      <c r="AM178" s="2"/>
      <c r="AN178" s="6"/>
      <c r="AO178" s="6"/>
      <c r="AP178" s="6"/>
      <c r="AQ178" s="6"/>
      <c r="AR178" s="6"/>
      <c r="AS178" s="6"/>
    </row>
    <row r="179" spans="15:45" ht="15" hidden="1">
      <c r="O179" s="72"/>
      <c r="Q179" s="341" t="s">
        <v>9</v>
      </c>
      <c r="R179" s="341"/>
      <c r="S179" s="341"/>
      <c r="T179" s="341" t="s">
        <v>3</v>
      </c>
      <c r="U179" s="341"/>
      <c r="V179" s="341"/>
      <c r="AM179" s="2"/>
      <c r="AN179" s="6"/>
      <c r="AO179" s="6"/>
      <c r="AP179" s="6"/>
      <c r="AQ179" s="6"/>
      <c r="AR179" s="6"/>
      <c r="AS179" s="6"/>
    </row>
    <row r="180" spans="15:45" ht="15" hidden="1">
      <c r="O180" s="72"/>
      <c r="Q180" s="16" t="s">
        <v>181</v>
      </c>
      <c r="R180" s="16"/>
      <c r="S180" s="16" t="s">
        <v>182</v>
      </c>
      <c r="T180" s="341" t="s">
        <v>259</v>
      </c>
      <c r="U180" s="341"/>
      <c r="V180" s="341"/>
      <c r="AM180" s="2"/>
      <c r="AN180" s="6"/>
      <c r="AO180" s="6"/>
      <c r="AP180" s="6"/>
      <c r="AQ180" s="6"/>
      <c r="AR180" s="6"/>
      <c r="AS180" s="6"/>
    </row>
    <row r="181" spans="15:45" ht="18" hidden="1">
      <c r="O181" s="14" t="s">
        <v>45</v>
      </c>
      <c r="P181" s="188"/>
      <c r="Q181" s="254">
        <v>0.11</v>
      </c>
      <c r="R181" s="33"/>
      <c r="S181" s="33">
        <v>0.11</v>
      </c>
      <c r="T181" s="333">
        <v>0.02</v>
      </c>
      <c r="U181" s="334"/>
      <c r="V181" s="335"/>
      <c r="AM181" s="2"/>
      <c r="AN181" s="6"/>
      <c r="AO181" s="6"/>
      <c r="AP181" s="6"/>
      <c r="AQ181" s="6"/>
      <c r="AR181" s="6"/>
      <c r="AS181" s="6"/>
    </row>
    <row r="182" spans="15:45" ht="18" hidden="1">
      <c r="O182" s="14" t="s">
        <v>46</v>
      </c>
      <c r="P182" s="188"/>
      <c r="Q182" s="255">
        <v>1</v>
      </c>
      <c r="R182" s="16"/>
      <c r="S182" s="16">
        <v>0.95</v>
      </c>
      <c r="T182" s="333">
        <v>0.8</v>
      </c>
      <c r="U182" s="334"/>
      <c r="V182" s="335"/>
      <c r="AM182" s="2"/>
      <c r="AN182" s="6"/>
      <c r="AO182" s="6"/>
      <c r="AP182" s="6"/>
      <c r="AQ182" s="6"/>
      <c r="AR182" s="6"/>
      <c r="AS182" s="6"/>
    </row>
    <row r="183" spans="15:45" ht="18" hidden="1">
      <c r="O183" s="14" t="s">
        <v>47</v>
      </c>
      <c r="P183" s="188"/>
      <c r="Q183" s="255">
        <v>0</v>
      </c>
      <c r="R183" s="16"/>
      <c r="S183" s="16">
        <v>0</v>
      </c>
      <c r="T183" s="333">
        <v>0</v>
      </c>
      <c r="U183" s="334"/>
      <c r="V183" s="335"/>
      <c r="AM183" s="2"/>
      <c r="AN183" s="6"/>
      <c r="AO183" s="6"/>
      <c r="AP183" s="6"/>
      <c r="AQ183" s="6"/>
      <c r="AR183" s="6"/>
      <c r="AS183" s="6"/>
    </row>
    <row r="184" spans="15:45" ht="15" hidden="1">
      <c r="O184" s="14" t="s">
        <v>43</v>
      </c>
      <c r="P184" s="188"/>
      <c r="Q184" s="255">
        <v>26</v>
      </c>
      <c r="R184" s="16"/>
      <c r="S184" s="16">
        <v>16</v>
      </c>
      <c r="T184" s="333">
        <v>11</v>
      </c>
      <c r="U184" s="334"/>
      <c r="V184" s="335"/>
      <c r="AM184" s="2"/>
      <c r="AN184" s="6"/>
      <c r="AO184" s="6"/>
      <c r="AP184" s="6"/>
      <c r="AQ184" s="6"/>
      <c r="AR184" s="6"/>
      <c r="AS184" s="6"/>
    </row>
    <row r="185" spans="15:45" ht="15" hidden="1">
      <c r="O185" s="331" t="s">
        <v>44</v>
      </c>
      <c r="P185" s="332"/>
      <c r="Q185" s="255">
        <v>1.5</v>
      </c>
      <c r="R185" s="16"/>
      <c r="S185" s="16">
        <v>1.5</v>
      </c>
      <c r="T185" s="333">
        <v>2.5</v>
      </c>
      <c r="U185" s="334"/>
      <c r="V185" s="335"/>
      <c r="AM185" s="2"/>
      <c r="AN185" s="6"/>
      <c r="AO185" s="6"/>
      <c r="AP185" s="6"/>
      <c r="AQ185" s="6"/>
      <c r="AR185" s="6"/>
      <c r="AS185" s="6"/>
    </row>
    <row r="186" spans="15:45" hidden="1">
      <c r="AM186" s="2"/>
      <c r="AN186" s="6"/>
      <c r="AO186" s="6"/>
      <c r="AP186" s="6"/>
      <c r="AQ186" s="6"/>
      <c r="AR186" s="6"/>
      <c r="AS186" s="6"/>
    </row>
    <row r="187" spans="15:45" hidden="1">
      <c r="AM187" s="2"/>
      <c r="AN187" s="6"/>
      <c r="AO187" s="6"/>
      <c r="AP187" s="6"/>
      <c r="AQ187" s="6"/>
      <c r="AR187" s="6"/>
      <c r="AS187" s="6"/>
    </row>
    <row r="188" spans="15:45" hidden="1">
      <c r="AM188" s="2"/>
      <c r="AN188" s="6"/>
      <c r="AO188" s="6"/>
      <c r="AP188" s="6"/>
      <c r="AQ188" s="6"/>
      <c r="AR188" s="6"/>
      <c r="AS188" s="6"/>
    </row>
    <row r="189" spans="15:45" hidden="1">
      <c r="AM189" s="2"/>
      <c r="AN189" s="6"/>
      <c r="AO189" s="6"/>
      <c r="AP189" s="6"/>
      <c r="AQ189" s="6"/>
      <c r="AR189" s="6"/>
      <c r="AS189" s="6"/>
    </row>
    <row r="190" spans="15:45" hidden="1">
      <c r="AM190" s="2"/>
      <c r="AN190" s="6"/>
      <c r="AO190" s="6"/>
      <c r="AP190" s="6"/>
      <c r="AQ190" s="6"/>
      <c r="AR190" s="6"/>
      <c r="AS190" s="6"/>
    </row>
    <row r="191" spans="15:45" hidden="1">
      <c r="AM191" s="2"/>
      <c r="AN191" s="6"/>
      <c r="AO191" s="6"/>
      <c r="AP191" s="6"/>
      <c r="AQ191" s="6"/>
      <c r="AR191" s="6"/>
      <c r="AS191" s="6"/>
    </row>
    <row r="192" spans="15:45" hidden="1"/>
    <row r="193" spans="1:25" hidden="1"/>
    <row r="194" spans="1:25" hidden="1"/>
    <row r="195" spans="1:25" hidden="1"/>
    <row r="196" spans="1:25" hidden="1"/>
    <row r="197" spans="1:25" hidden="1"/>
    <row r="198" spans="1:25" hidden="1"/>
    <row r="199" spans="1:25" hidden="1"/>
    <row r="200" spans="1:25" hidden="1"/>
    <row r="201" spans="1:25" hidden="1">
      <c r="A201" s="17"/>
      <c r="B201" s="17"/>
      <c r="C201" s="17"/>
      <c r="D201" s="17"/>
      <c r="E201" s="17"/>
      <c r="F201" s="17"/>
      <c r="G201" s="17"/>
      <c r="H201" s="336" t="s">
        <v>135</v>
      </c>
      <c r="I201" s="336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 spans="1:25" ht="15" hidden="1">
      <c r="A202" s="17"/>
      <c r="B202" s="17"/>
      <c r="C202" s="17"/>
      <c r="D202" s="17"/>
      <c r="E202" s="17"/>
      <c r="F202" s="17"/>
      <c r="G202" s="17"/>
      <c r="H202" s="20" t="s">
        <v>136</v>
      </c>
      <c r="I202" s="20" t="s">
        <v>137</v>
      </c>
      <c r="J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 t="s">
        <v>252</v>
      </c>
      <c r="V202" s="17" t="s">
        <v>252</v>
      </c>
      <c r="W202" s="17" t="s">
        <v>253</v>
      </c>
      <c r="X202" s="17"/>
      <c r="Y202" s="17"/>
    </row>
    <row r="203" spans="1:25" ht="16.5" hidden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" t="s">
        <v>86</v>
      </c>
      <c r="V203" s="1" t="s">
        <v>258</v>
      </c>
      <c r="W203" s="1" t="s">
        <v>82</v>
      </c>
      <c r="X203" s="17"/>
      <c r="Y203" s="17"/>
    </row>
    <row r="204" spans="1:25" hidden="1">
      <c r="A204" s="6">
        <v>1</v>
      </c>
      <c r="B204" s="7" t="s">
        <v>134</v>
      </c>
      <c r="D204" s="17"/>
      <c r="E204" s="73" t="s">
        <v>254</v>
      </c>
      <c r="F204" s="17"/>
      <c r="G204" s="17"/>
      <c r="H204" s="17" t="s">
        <v>343</v>
      </c>
      <c r="I204" s="17" t="s">
        <v>343</v>
      </c>
      <c r="J204" s="17"/>
      <c r="K204" s="17"/>
      <c r="L204" s="17"/>
      <c r="M204" s="17"/>
      <c r="N204" s="17"/>
      <c r="O204" s="17"/>
      <c r="P204" s="17"/>
      <c r="Q204" s="17"/>
      <c r="R204" s="17"/>
      <c r="S204" s="17">
        <v>100</v>
      </c>
      <c r="T204" s="17" t="s">
        <v>139</v>
      </c>
      <c r="U204" s="17">
        <v>0</v>
      </c>
      <c r="V204" s="17">
        <v>0</v>
      </c>
      <c r="W204" s="17">
        <v>0</v>
      </c>
      <c r="X204" s="17"/>
      <c r="Y204" s="17"/>
    </row>
    <row r="205" spans="1:25" hidden="1">
      <c r="A205" s="6">
        <v>2</v>
      </c>
      <c r="B205" s="7" t="s">
        <v>163</v>
      </c>
      <c r="D205" s="17"/>
      <c r="E205" s="156">
        <v>860</v>
      </c>
      <c r="F205" s="17"/>
      <c r="G205" s="17"/>
      <c r="H205" s="21" t="s">
        <v>114</v>
      </c>
      <c r="I205" s="19">
        <v>1</v>
      </c>
      <c r="J205" s="17">
        <v>0</v>
      </c>
      <c r="K205" s="18" t="s">
        <v>113</v>
      </c>
      <c r="L205" s="17"/>
      <c r="M205" s="18" t="s">
        <v>112</v>
      </c>
      <c r="N205" s="17"/>
      <c r="O205" s="21" t="s">
        <v>56</v>
      </c>
      <c r="P205" s="17"/>
      <c r="Q205" s="17">
        <v>1</v>
      </c>
      <c r="R205" s="17"/>
      <c r="S205" s="22"/>
      <c r="T205" s="21"/>
      <c r="U205" s="23"/>
      <c r="V205" s="23"/>
      <c r="W205" s="23"/>
      <c r="X205" s="17"/>
      <c r="Y205" s="17"/>
    </row>
    <row r="206" spans="1:25" hidden="1">
      <c r="A206" s="6">
        <v>3</v>
      </c>
      <c r="B206" s="7" t="s">
        <v>18</v>
      </c>
      <c r="D206" s="17"/>
      <c r="E206" s="17"/>
      <c r="F206" s="17"/>
      <c r="G206" s="17"/>
      <c r="H206" s="21" t="s">
        <v>111</v>
      </c>
      <c r="I206" s="19">
        <v>2</v>
      </c>
      <c r="J206" s="17">
        <v>0</v>
      </c>
      <c r="K206" s="18" t="s">
        <v>110</v>
      </c>
      <c r="L206" s="17"/>
      <c r="M206" s="18" t="s">
        <v>109</v>
      </c>
      <c r="N206" s="17"/>
      <c r="O206" s="21" t="s">
        <v>55</v>
      </c>
      <c r="P206" s="17"/>
      <c r="Q206" s="17">
        <v>2</v>
      </c>
      <c r="R206" s="17"/>
      <c r="S206" s="22"/>
      <c r="T206" s="21"/>
      <c r="U206" s="23"/>
      <c r="V206" s="23"/>
      <c r="W206" s="23"/>
      <c r="X206" s="17"/>
      <c r="Y206" s="17"/>
    </row>
    <row r="207" spans="1:25" hidden="1">
      <c r="A207" s="6">
        <v>4</v>
      </c>
      <c r="B207" s="7" t="s">
        <v>164</v>
      </c>
      <c r="D207" s="17"/>
      <c r="E207" s="17"/>
      <c r="F207" s="17"/>
      <c r="G207" s="17"/>
      <c r="H207" s="21" t="s">
        <v>108</v>
      </c>
      <c r="I207" s="19">
        <v>3</v>
      </c>
      <c r="J207" s="17"/>
      <c r="K207" s="18" t="s">
        <v>107</v>
      </c>
      <c r="L207" s="17"/>
      <c r="M207" s="18" t="s">
        <v>106</v>
      </c>
      <c r="N207" s="17"/>
      <c r="O207" s="21" t="s">
        <v>88</v>
      </c>
      <c r="P207" s="17"/>
      <c r="Q207" s="17">
        <v>1</v>
      </c>
      <c r="R207" s="17"/>
      <c r="S207" s="22"/>
      <c r="T207" s="21"/>
      <c r="U207" s="23"/>
      <c r="V207" s="23"/>
      <c r="W207" s="23"/>
      <c r="X207" s="17"/>
      <c r="Y207" s="17"/>
    </row>
    <row r="208" spans="1:25" hidden="1">
      <c r="A208" s="6">
        <v>5</v>
      </c>
      <c r="B208" s="7" t="s">
        <v>168</v>
      </c>
      <c r="D208" s="17"/>
      <c r="E208" s="17"/>
      <c r="F208" s="17"/>
      <c r="G208" s="17"/>
      <c r="H208" s="21" t="s">
        <v>105</v>
      </c>
      <c r="I208" s="19">
        <v>4</v>
      </c>
      <c r="J208" s="17"/>
      <c r="K208" s="18" t="s">
        <v>104</v>
      </c>
      <c r="L208" s="17"/>
      <c r="M208" s="18" t="s">
        <v>103</v>
      </c>
      <c r="N208" s="17"/>
      <c r="O208" s="21" t="s">
        <v>87</v>
      </c>
      <c r="P208" s="17"/>
      <c r="Q208" s="17">
        <v>2</v>
      </c>
      <c r="R208" s="17"/>
      <c r="S208" s="22"/>
      <c r="T208" s="21"/>
      <c r="U208" s="23"/>
      <c r="V208" s="23"/>
      <c r="W208" s="23"/>
      <c r="X208" s="17"/>
      <c r="Y208" s="17"/>
    </row>
    <row r="209" spans="1:25" hidden="1">
      <c r="A209" s="6">
        <v>6</v>
      </c>
      <c r="B209" s="7" t="s">
        <v>169</v>
      </c>
      <c r="D209" s="17"/>
      <c r="E209" s="17"/>
      <c r="F209" s="17"/>
      <c r="G209" s="17"/>
      <c r="H209" s="21" t="s">
        <v>146</v>
      </c>
      <c r="I209" s="19">
        <v>5</v>
      </c>
      <c r="J209" s="17"/>
      <c r="K209" s="18" t="s">
        <v>249</v>
      </c>
      <c r="L209" s="17"/>
      <c r="M209" s="18" t="s">
        <v>102</v>
      </c>
      <c r="N209" s="17"/>
      <c r="O209" s="21" t="s">
        <v>85</v>
      </c>
      <c r="P209" s="17"/>
      <c r="Q209" s="17">
        <v>3</v>
      </c>
      <c r="R209" s="17"/>
      <c r="S209" s="22"/>
      <c r="T209" s="21"/>
      <c r="U209" s="23"/>
      <c r="V209" s="23"/>
      <c r="W209" s="23"/>
      <c r="X209" s="17"/>
      <c r="Y209" s="17"/>
    </row>
    <row r="210" spans="1:25" hidden="1">
      <c r="A210" s="6">
        <v>7</v>
      </c>
      <c r="B210" s="7" t="s">
        <v>165</v>
      </c>
      <c r="D210" s="17"/>
      <c r="E210" s="17"/>
      <c r="F210" s="17"/>
      <c r="G210" s="17"/>
      <c r="H210" s="21" t="s">
        <v>147</v>
      </c>
      <c r="I210" s="19">
        <v>6</v>
      </c>
      <c r="J210" s="17"/>
      <c r="K210" s="18" t="s">
        <v>152</v>
      </c>
      <c r="L210" s="17"/>
      <c r="M210" s="18" t="s">
        <v>101</v>
      </c>
      <c r="N210" s="17"/>
      <c r="O210" s="21" t="s">
        <v>84</v>
      </c>
      <c r="P210" s="17"/>
      <c r="Q210" s="17">
        <v>1</v>
      </c>
      <c r="R210" s="17"/>
      <c r="S210" s="22"/>
      <c r="T210" s="21"/>
      <c r="U210" s="23"/>
      <c r="V210" s="23"/>
      <c r="W210" s="23"/>
      <c r="X210" s="17"/>
      <c r="Y210" s="17"/>
    </row>
    <row r="211" spans="1:25" hidden="1">
      <c r="A211" s="207">
        <v>8</v>
      </c>
      <c r="B211" s="7" t="s">
        <v>342</v>
      </c>
      <c r="C211" s="17"/>
      <c r="D211" s="17"/>
      <c r="E211" s="17"/>
      <c r="F211" s="17"/>
      <c r="G211" s="17"/>
      <c r="H211" s="21" t="s">
        <v>148</v>
      </c>
      <c r="I211" s="19">
        <v>7</v>
      </c>
      <c r="J211" s="17"/>
      <c r="K211" s="18" t="s">
        <v>153</v>
      </c>
      <c r="L211" s="17"/>
      <c r="M211" s="18" t="s">
        <v>100</v>
      </c>
      <c r="N211" s="17"/>
      <c r="O211" s="21" t="s">
        <v>83</v>
      </c>
      <c r="P211" s="17"/>
      <c r="Q211" s="17">
        <v>2</v>
      </c>
      <c r="R211" s="17"/>
      <c r="S211" s="22"/>
      <c r="T211" s="21"/>
      <c r="U211" s="23"/>
      <c r="V211" s="23"/>
      <c r="W211" s="23"/>
      <c r="X211" s="17"/>
      <c r="Y211" s="17"/>
    </row>
    <row r="212" spans="1:25" hidden="1">
      <c r="A212" s="207">
        <v>9</v>
      </c>
      <c r="B212" s="7" t="s">
        <v>377</v>
      </c>
      <c r="C212" s="17"/>
      <c r="D212" s="17"/>
      <c r="E212" s="17"/>
      <c r="F212" s="17"/>
      <c r="G212" s="17"/>
      <c r="H212" s="21" t="s">
        <v>149</v>
      </c>
      <c r="I212" s="19">
        <v>8</v>
      </c>
      <c r="J212" s="17"/>
      <c r="K212" s="18" t="s">
        <v>154</v>
      </c>
      <c r="L212" s="17"/>
      <c r="M212" s="18" t="s">
        <v>99</v>
      </c>
      <c r="N212" s="17"/>
      <c r="O212" s="21" t="s">
        <v>81</v>
      </c>
      <c r="P212" s="17"/>
      <c r="Q212" s="17">
        <v>3</v>
      </c>
      <c r="R212" s="17"/>
      <c r="S212" s="22"/>
      <c r="T212" s="21"/>
      <c r="U212" s="23"/>
      <c r="V212" s="23"/>
      <c r="W212" s="23"/>
      <c r="X212" s="17"/>
      <c r="Y212" s="17"/>
    </row>
    <row r="213" spans="1:25" hidden="1">
      <c r="A213" s="17"/>
      <c r="B213" s="17"/>
      <c r="C213" s="17"/>
      <c r="D213" s="17"/>
      <c r="E213" s="17"/>
      <c r="F213" s="17"/>
      <c r="G213" s="17"/>
      <c r="H213" s="21" t="s">
        <v>98</v>
      </c>
      <c r="I213" s="19">
        <v>9</v>
      </c>
      <c r="J213" s="17"/>
      <c r="K213" s="18" t="s">
        <v>155</v>
      </c>
      <c r="L213" s="17"/>
      <c r="M213" s="18" t="s">
        <v>97</v>
      </c>
      <c r="N213" s="17"/>
      <c r="O213" s="21" t="s">
        <v>80</v>
      </c>
      <c r="P213" s="17"/>
      <c r="Q213" s="17">
        <v>4</v>
      </c>
      <c r="R213" s="17"/>
      <c r="S213" s="22"/>
      <c r="T213" s="21"/>
      <c r="U213" s="23"/>
      <c r="V213" s="23"/>
      <c r="W213" s="23"/>
      <c r="X213" s="17"/>
      <c r="Y213" s="17"/>
    </row>
    <row r="214" spans="1:25" hidden="1">
      <c r="A214" s="17"/>
      <c r="B214" s="17"/>
      <c r="C214" s="17"/>
      <c r="D214" s="17"/>
      <c r="E214" s="17"/>
      <c r="F214" s="17"/>
      <c r="G214" s="17"/>
      <c r="H214" s="21" t="s">
        <v>311</v>
      </c>
      <c r="I214" s="19">
        <v>10</v>
      </c>
      <c r="J214" s="17"/>
      <c r="K214" s="18" t="s">
        <v>310</v>
      </c>
      <c r="L214" s="17"/>
      <c r="M214" s="18" t="s">
        <v>96</v>
      </c>
      <c r="N214" s="17"/>
      <c r="O214" s="21"/>
      <c r="P214" s="17"/>
      <c r="Q214" s="17"/>
      <c r="R214" s="17"/>
      <c r="S214" s="22"/>
      <c r="T214" s="21"/>
      <c r="U214" s="23"/>
      <c r="V214" s="23"/>
      <c r="W214" s="23"/>
      <c r="X214" s="17"/>
      <c r="Y214" s="17"/>
    </row>
    <row r="215" spans="1:25" hidden="1">
      <c r="A215" s="17"/>
      <c r="B215" s="17"/>
      <c r="C215" s="17"/>
      <c r="D215" s="17"/>
      <c r="E215" s="17"/>
      <c r="F215" s="17"/>
      <c r="G215" s="17"/>
      <c r="H215" s="21" t="s">
        <v>150</v>
      </c>
      <c r="I215" s="19">
        <v>11</v>
      </c>
      <c r="J215" s="17"/>
      <c r="K215" s="18" t="s">
        <v>313</v>
      </c>
      <c r="L215" s="17"/>
      <c r="M215" s="18" t="s">
        <v>95</v>
      </c>
      <c r="N215" s="17"/>
      <c r="O215" s="21" t="s">
        <v>157</v>
      </c>
      <c r="P215" s="17"/>
      <c r="Q215" s="17">
        <v>4</v>
      </c>
      <c r="R215" s="17"/>
      <c r="S215" s="22"/>
      <c r="T215" s="21"/>
      <c r="U215" s="23"/>
      <c r="V215" s="23"/>
      <c r="W215" s="23"/>
      <c r="X215" s="17"/>
      <c r="Y215" s="17"/>
    </row>
    <row r="216" spans="1:25" hidden="1">
      <c r="A216" s="17"/>
      <c r="B216" s="17"/>
      <c r="C216" s="17"/>
      <c r="D216" s="17"/>
      <c r="E216" s="17"/>
      <c r="F216" s="17"/>
      <c r="G216" s="17"/>
      <c r="H216" s="21" t="s">
        <v>151</v>
      </c>
      <c r="I216" s="19">
        <v>12</v>
      </c>
      <c r="J216" s="17"/>
      <c r="K216" s="18" t="s">
        <v>314</v>
      </c>
      <c r="L216" s="17"/>
      <c r="M216" s="18" t="s">
        <v>93</v>
      </c>
      <c r="N216" s="17"/>
      <c r="O216" s="21" t="s">
        <v>79</v>
      </c>
      <c r="P216" s="17"/>
      <c r="Q216" s="17">
        <v>5</v>
      </c>
      <c r="R216" s="17"/>
      <c r="S216" s="22"/>
      <c r="T216" s="21"/>
      <c r="U216" s="23"/>
      <c r="V216" s="23"/>
      <c r="W216" s="23"/>
      <c r="X216" s="17"/>
      <c r="Y216" s="17"/>
    </row>
    <row r="217" spans="1:25" hidden="1">
      <c r="A217" s="17"/>
      <c r="B217" s="17"/>
      <c r="C217" s="17"/>
      <c r="D217" s="17"/>
      <c r="E217" s="17"/>
      <c r="F217" s="17"/>
      <c r="G217" s="17"/>
      <c r="H217" s="21" t="s">
        <v>94</v>
      </c>
      <c r="I217" s="19">
        <v>13</v>
      </c>
      <c r="J217" s="17"/>
      <c r="K217" s="18" t="s">
        <v>315</v>
      </c>
      <c r="L217" s="17"/>
      <c r="M217" s="18" t="s">
        <v>91</v>
      </c>
      <c r="N217" s="17"/>
      <c r="O217" s="21" t="s">
        <v>78</v>
      </c>
      <c r="P217" s="17"/>
      <c r="Q217" s="17">
        <v>6</v>
      </c>
      <c r="R217" s="17"/>
      <c r="S217" s="22"/>
      <c r="T217" s="21"/>
      <c r="U217" s="23"/>
      <c r="V217" s="23"/>
      <c r="W217" s="23"/>
      <c r="X217" s="17"/>
      <c r="Y217" s="17"/>
    </row>
    <row r="218" spans="1:25" hidden="1">
      <c r="A218" s="17"/>
      <c r="B218" s="17"/>
      <c r="C218" s="17"/>
      <c r="D218" s="17"/>
      <c r="E218" s="17"/>
      <c r="F218" s="17"/>
      <c r="G218" s="17"/>
      <c r="H218" s="21"/>
      <c r="I218" s="19">
        <v>14</v>
      </c>
      <c r="J218" s="17"/>
      <c r="K218" s="18" t="s">
        <v>349</v>
      </c>
      <c r="L218" s="17"/>
      <c r="M218" s="18" t="s">
        <v>89</v>
      </c>
      <c r="N218" s="17"/>
      <c r="O218" s="21"/>
      <c r="P218" s="17"/>
      <c r="Q218" s="17"/>
      <c r="R218" s="17"/>
      <c r="S218" s="22"/>
      <c r="T218" s="21"/>
      <c r="U218" s="23"/>
      <c r="V218" s="23"/>
      <c r="W218" s="23"/>
      <c r="X218" s="17"/>
      <c r="Y218" s="17"/>
    </row>
    <row r="219" spans="1:25" hidden="1">
      <c r="A219" s="17"/>
      <c r="B219" s="17"/>
      <c r="C219" s="17"/>
      <c r="D219" s="17"/>
      <c r="E219" s="17"/>
      <c r="F219" s="17"/>
      <c r="G219" s="17"/>
      <c r="H219" s="21"/>
      <c r="I219" s="19">
        <v>15</v>
      </c>
      <c r="J219" s="17"/>
      <c r="K219" s="18" t="s">
        <v>350</v>
      </c>
      <c r="L219" s="17"/>
      <c r="M219" s="18" t="s">
        <v>312</v>
      </c>
      <c r="N219" s="17"/>
      <c r="O219" s="21"/>
      <c r="P219" s="17"/>
      <c r="Q219" s="17"/>
      <c r="R219" s="17"/>
      <c r="S219" s="22"/>
      <c r="T219" s="21"/>
      <c r="U219" s="23"/>
      <c r="V219" s="23"/>
      <c r="W219" s="23"/>
      <c r="X219" s="17"/>
      <c r="Y219" s="17"/>
    </row>
    <row r="220" spans="1:25" hidden="1">
      <c r="A220" s="17"/>
      <c r="B220" s="17"/>
      <c r="C220" s="17"/>
      <c r="D220" s="17"/>
      <c r="E220" s="17"/>
      <c r="F220" s="17"/>
      <c r="G220" s="17"/>
      <c r="H220" s="21" t="s">
        <v>92</v>
      </c>
      <c r="I220" s="19">
        <v>16</v>
      </c>
      <c r="J220" s="17"/>
      <c r="K220" s="18" t="s">
        <v>345</v>
      </c>
      <c r="L220" s="17"/>
      <c r="M220" s="18" t="s">
        <v>347</v>
      </c>
      <c r="N220" s="17"/>
      <c r="O220" s="21" t="s">
        <v>156</v>
      </c>
      <c r="P220" s="17"/>
      <c r="Q220" s="17">
        <v>7</v>
      </c>
      <c r="R220" s="17"/>
      <c r="S220" s="22"/>
      <c r="T220" s="21"/>
      <c r="U220" s="23"/>
      <c r="V220" s="23"/>
      <c r="W220" s="23"/>
      <c r="X220" s="17"/>
      <c r="Y220" s="17"/>
    </row>
    <row r="221" spans="1:25" ht="15" hidden="1">
      <c r="A221" s="17"/>
      <c r="B221" s="20" t="s">
        <v>50</v>
      </c>
      <c r="C221" s="17"/>
      <c r="D221" s="20" t="s">
        <v>51</v>
      </c>
      <c r="E221" s="17"/>
      <c r="F221" s="17"/>
      <c r="G221" s="17"/>
      <c r="H221" s="21" t="s">
        <v>90</v>
      </c>
      <c r="I221" s="19">
        <v>17</v>
      </c>
      <c r="J221" s="17"/>
      <c r="K221" s="18" t="s">
        <v>346</v>
      </c>
      <c r="L221" s="17"/>
      <c r="M221" s="18" t="s">
        <v>348</v>
      </c>
      <c r="N221" s="17"/>
      <c r="O221" s="21" t="s">
        <v>74</v>
      </c>
      <c r="P221" s="17"/>
      <c r="Q221" s="17">
        <v>8</v>
      </c>
      <c r="R221" s="17"/>
      <c r="S221" s="22"/>
      <c r="T221" s="21"/>
      <c r="U221" s="23"/>
      <c r="V221" s="23"/>
      <c r="W221" s="23"/>
      <c r="X221" s="17"/>
      <c r="Y221" s="17"/>
    </row>
    <row r="222" spans="1:25" hidden="1">
      <c r="A222" s="17"/>
      <c r="B222" s="17" t="str">
        <f>IF(OR(C13=B204,C13=B212),"0",IF(C13=B205,"1",IF(C13=B206,"16",IF(C13=B207,"4",IF(C13=B208,"14",IF(C13=B209,"14",IF(C13=B210,"16","")))))))</f>
        <v/>
      </c>
      <c r="C222" s="17"/>
      <c r="D222" s="17" t="str">
        <f>IF(OR(E13=B204,E13=B212),"0",IF(E13=B205,"1",IF(E13=B206,"16",IF(E13=B207,"4",IF(E13=B208,"14",IF(E13=B209,"14",IF(E13=B210,"16",IF(E13=B211,"8",""))))))))</f>
        <v/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21" t="s">
        <v>71</v>
      </c>
      <c r="P222" s="17"/>
      <c r="Q222" s="17">
        <v>9</v>
      </c>
      <c r="R222" s="17"/>
      <c r="S222" s="22"/>
      <c r="T222" s="21"/>
      <c r="U222" s="23"/>
      <c r="V222" s="23"/>
      <c r="W222" s="23"/>
      <c r="X222" s="17"/>
      <c r="Y222" s="17"/>
    </row>
    <row r="223" spans="1:25" ht="15" hidden="1">
      <c r="A223" s="17"/>
      <c r="B223" s="17" t="str">
        <f>IF(B222="1",K205,IF(B222="16",K220,IF(B222="0",H204,IF(B222="14",K218,IF(B222="4",K218,"")))))</f>
        <v/>
      </c>
      <c r="C223" s="17"/>
      <c r="D223" s="17" t="str">
        <f>IF($D$222="1",K205,IF(D222="14",K218,IF(D222="0",H204,IF(D222="8",I204,IF(D222="16",K220,IF(D222="4",K218,""))))))</f>
        <v/>
      </c>
      <c r="E223" s="17"/>
      <c r="F223" s="17"/>
      <c r="G223" s="17"/>
      <c r="H223" s="20" t="s">
        <v>50</v>
      </c>
      <c r="I223" s="17">
        <v>100</v>
      </c>
      <c r="J223" s="151" t="s">
        <v>51</v>
      </c>
      <c r="K223" s="17"/>
      <c r="L223" s="17"/>
      <c r="M223" s="17"/>
      <c r="N223" s="17"/>
      <c r="O223" s="21" t="s">
        <v>68</v>
      </c>
      <c r="P223" s="17"/>
      <c r="Q223" s="17">
        <v>10</v>
      </c>
      <c r="R223" s="17"/>
      <c r="S223" s="22"/>
      <c r="T223" s="21"/>
      <c r="U223" s="23"/>
      <c r="V223" s="23"/>
      <c r="W223" s="23"/>
      <c r="X223" s="17"/>
      <c r="Y223" s="17"/>
    </row>
    <row r="224" spans="1:25" hidden="1">
      <c r="A224" s="17"/>
      <c r="B224" s="17" t="str">
        <f>IF($B$222="1",K206,IF(B222="14",K219,IF(B222="4",K219,"")))</f>
        <v/>
      </c>
      <c r="C224" s="17"/>
      <c r="D224" s="17" t="str">
        <f>IF($D$222="1",K206,IF(D222="14",K219,IF(D222="4",K219,"")))</f>
        <v/>
      </c>
      <c r="E224" s="17"/>
      <c r="F224" s="17"/>
      <c r="G224" s="17" t="s">
        <v>250</v>
      </c>
      <c r="H224" s="17" t="str">
        <f>IF(C40=H204,J205,IF(C40=K205,I205,IF(C40=K206,I206,IF(C40=K207,I207,IF(C40=K208,I208,IF(C40=K209,I209,IF(C40=K210,I210,IF(C40=K211,I211,IF(C40=K212,I212,IF(C40=K213,I213,IF(C40=K214,I214,IF(C40=K215,I215,IF(C40=K216,I216,IF(C40=K217,I217,IF(C40=K220,I220,IF(C40=K221,I221,IF(C40=K218,I218,IF(C40=K219,I219,""))))))))))))))))))</f>
        <v/>
      </c>
      <c r="I224" s="17"/>
      <c r="J224" s="208" t="str">
        <f>IF(E40=H204,J205,IF(E40=K205,I205,IF(E40=K206,I206,IF(E40=K207,I207,IF(E40=K208,I208,IF(E40=K209,I209,IF(E40=K210,I210,IF(E40=K211,I211,IF(E40=K212,I212,IF(E40=K213,I213,IF(E40=K214,I214,IF(E40=K215,I215,IF(E40=K216,I216,IF(E40=K217,I217,IF(E40=K220,I220,IF(E40=K221,I221,IF(E40=I204,J206,IF(E40=K218,I218,IF(E40=K219,I219,"")))))))))))))))))))</f>
        <v/>
      </c>
      <c r="K224" s="17"/>
      <c r="L224" s="17"/>
      <c r="M224" s="17"/>
      <c r="N224" s="17"/>
      <c r="O224" s="21" t="s">
        <v>67</v>
      </c>
      <c r="P224" s="17"/>
      <c r="Q224" s="17">
        <v>11</v>
      </c>
      <c r="R224" s="17"/>
      <c r="S224" s="22"/>
      <c r="T224" s="21"/>
      <c r="U224" s="23"/>
      <c r="V224" s="23"/>
      <c r="W224" s="23"/>
      <c r="X224" s="17"/>
      <c r="Y224" s="17"/>
    </row>
    <row r="225" spans="1:25" hidden="1">
      <c r="A225" s="17"/>
      <c r="B225" s="17" t="str">
        <f>IF($B$222="1",K207,IF(B222="4",K220,""))</f>
        <v/>
      </c>
      <c r="C225" s="17"/>
      <c r="D225" s="17" t="str">
        <f>IF($D$222="1",K207,IF(D222="4",K220,""))</f>
        <v/>
      </c>
      <c r="E225" s="17"/>
      <c r="F225" s="17" t="s">
        <v>251</v>
      </c>
      <c r="H225" s="17" t="str">
        <f>IF(C41=O205,(H224*I223)+Q205,IF(C41=O207,(H224*I223)+Q207,IF(C41=O206,(H224*I223)+Q206,IF(C41=O208,(H224*I223)+Q208,IF(C41=O209,(H224*I223)+Q209,IF(C41=O210,(H224*I223)+Q210,IF(C41=O211,(H224*I223)+Q211,IF(C41=O212,(H224*I223)+Q212,IF(C41=O213,(H224*I223)+Q213,IF(C41=O215,(H224*I223)+Q215,IF(C41=O216,(H224*I223)+Q216,IF(C41=O217,(H224*I223)+Q217,IF(C41=O220,(H224*I223)+Q220,IF(C41=O221,(H224*I223)+Q221,IF(C41=O222,(H224*I223)+Q222,IF(C41=O223,(H224*I223)+Q223,IF(C41=O224,(H224*I223)+Q224,IF(C41=O225,(H224*I223)+Q225,IF(C41=O226,(H224*I223)+Q226,IF(C41=O227,(H224*I223)+Q227,IF(C41=O228,(H224*I223)+Q228,IF(C41=O229,(H224*I223)+Q229,IF(C41=O230,(H224*I223)+Q230,IF(C41=O231,(H224*I223)+Q231,IF(C41=O232,(H224*I223)+Q232,IF(C41=O233,(H224*I223)+Q233,IF(C41=O234,(H224*I223)+Q234,"")))))))))))))))))))))))))))</f>
        <v/>
      </c>
      <c r="I225" s="17"/>
      <c r="J225" s="152" t="str">
        <f>IF(E41=O205,(J224*I223)+Q205,IF(E41=O207,(J224*I223)+Q207,IF(E41=O206,(J224*I223)+Q206,IF(E41=O208,(J224*I223)+Q208,IF(E41=O209,(J224*I223)+Q209,IF(E41=O210,(J224*I223)+Q210,IF(E41=O211,(J224*I223)+Q211,IF(E41=O212,(J224*I223)+Q212,IF(E41=O213,(J224*I223)+Q213,IF(E41=O215,(J224*I223)+Q215,IF(E41=O216,(J224*I223)+Q216,IF(E41=O217,(J224*I223)+Q217,IF(E41=O220,(J224*I223)+Q220,IF(E41=O221,(J224*I223)+Q221,IF(E41=O222,(J224*I223)+Q222,IF(E41=O223,(J224*I223)+Q223,IF(E41=O224,(J224*I223)+Q224,IF(E41=O225,(J224*I223)+Q225,IF(E41=O226,(J224*I223)+Q226,IF(E41=O227,(J224*I223)+Q227,IF(E41=O228,(J224*I223)+Q228,IF(E41=O229,(J224*I223)+Q229,IF(E41=O230,(J224*I223)+Q230,IF(E41=O231,(J224*I223)+Q231,IF(E41=O232,(J224*I223)+Q232,IF(E41=O233,(J224*I223)+Q233,IF(E41=O234,(J224*I223)+Q234,"")))))))))))))))))))))))))))</f>
        <v/>
      </c>
      <c r="K225" s="17"/>
      <c r="L225" s="17"/>
      <c r="M225" s="17"/>
      <c r="N225" s="17"/>
      <c r="O225" s="21" t="s">
        <v>66</v>
      </c>
      <c r="P225" s="17"/>
      <c r="Q225" s="17">
        <v>12</v>
      </c>
      <c r="R225" s="17"/>
      <c r="S225" s="22"/>
      <c r="T225" s="21"/>
      <c r="U225" s="23"/>
      <c r="V225" s="23"/>
      <c r="W225" s="23"/>
      <c r="X225" s="17"/>
      <c r="Y225" s="17"/>
    </row>
    <row r="226" spans="1:25" hidden="1">
      <c r="A226" s="17"/>
      <c r="B226" s="17" t="str">
        <f t="shared" ref="B226:B235" si="2">IF($B$222="1",K208,"")</f>
        <v/>
      </c>
      <c r="C226" s="17"/>
      <c r="D226" s="17" t="str">
        <f t="shared" ref="D226:D235" si="3">IF($D$222="1",K208,"")</f>
        <v/>
      </c>
      <c r="E226" s="17"/>
      <c r="F226" s="17"/>
      <c r="G226" s="17"/>
      <c r="H226" s="17" t="str">
        <f>IF($H$224=J205,H204,IF($H$224=I205,O205,IF(H224=I206,O205,IF(H224=I207,O205,IF(H224=I208,O205,IF(H224=I209,O205,IF(H224=I210,O205,IF(H224=I211,O205,IF(H224=I212,O205,IF(H224=I213,O205,IF(H224=I214,O205,IF(H224=I215,O205,IF(H224=I216,O205,IF(H224=I217,O205,IF(H224=I220,O207,IF(H224=I221,O205,""))))))))))))))))</f>
        <v/>
      </c>
      <c r="I226" s="17"/>
      <c r="J226" s="152" t="str">
        <f>IF($J$224=J205,H204,IF($J$224=I205,O205,IF(J224=I206,O205,IF(J224=I207,O205,IF(J224=I208,O205,IF(J224=I209,O205,IF(J224=I210,O205,IF(J224=I211,O205,IF(J224=I212,O205,IF(J224=I213,O205,IF(J224=I214,O205,IF(J224=I215,O205,IF(J224=I216,O205,IF(J224=I217,O205,IF(J224=I220,O207,IF(J224=I221,O205,IF(J224=J206,I204,"")))))))))))))))))</f>
        <v/>
      </c>
      <c r="K226" s="17"/>
      <c r="L226" s="17"/>
      <c r="M226" s="17"/>
      <c r="N226" s="17"/>
      <c r="O226" s="21" t="s">
        <v>65</v>
      </c>
      <c r="P226" s="17"/>
      <c r="Q226" s="17">
        <v>13</v>
      </c>
      <c r="R226" s="17"/>
      <c r="S226" s="22"/>
      <c r="T226" s="21"/>
      <c r="U226" s="23"/>
      <c r="V226" s="23"/>
      <c r="W226" s="23"/>
      <c r="X226" s="17"/>
      <c r="Y226" s="17"/>
    </row>
    <row r="227" spans="1:25" hidden="1">
      <c r="A227" s="17"/>
      <c r="B227" s="17" t="str">
        <f t="shared" si="2"/>
        <v/>
      </c>
      <c r="C227" s="17"/>
      <c r="D227" s="17" t="str">
        <f t="shared" si="3"/>
        <v/>
      </c>
      <c r="E227" s="17"/>
      <c r="F227" s="17"/>
      <c r="G227" s="17"/>
      <c r="H227" s="17" t="str">
        <f>IF($H$224=1,O206,IF($H$224=2," ",IF($H$224=3,O206,IF($H$224&lt;10," ",IF($H$224&lt;14,O206,IF($H$224=16,O208,IF(H224=I221,O206,"")))))))</f>
        <v/>
      </c>
      <c r="I227" s="17"/>
      <c r="J227" s="152" t="str">
        <f>IF($J$224=1,O206,IF($J$224=2," ",IF($J$224=3,O206,IF($J$224&lt;10," ",IF($J$224&lt;14,O206,IF($J$224=16,O208,IF(J224=I221,O206,"")))))))</f>
        <v/>
      </c>
      <c r="K227" s="17"/>
      <c r="L227" s="17"/>
      <c r="M227" s="17"/>
      <c r="N227" s="17"/>
      <c r="O227" s="21" t="s">
        <v>64</v>
      </c>
      <c r="P227" s="17"/>
      <c r="Q227" s="17">
        <v>14</v>
      </c>
      <c r="R227" s="17"/>
      <c r="S227" s="22"/>
      <c r="T227" s="21"/>
      <c r="U227" s="23"/>
      <c r="V227" s="23"/>
      <c r="W227" s="23"/>
      <c r="X227" s="17"/>
      <c r="Y227" s="17"/>
    </row>
    <row r="228" spans="1:25" hidden="1">
      <c r="A228" s="17"/>
      <c r="B228" s="17" t="str">
        <f t="shared" si="2"/>
        <v/>
      </c>
      <c r="C228" s="17"/>
      <c r="D228" s="17" t="str">
        <f t="shared" si="3"/>
        <v/>
      </c>
      <c r="E228" s="17"/>
      <c r="F228" s="17"/>
      <c r="G228" s="17"/>
      <c r="H228" s="17" t="str">
        <f>IF($H$224=16,O209,"")</f>
        <v/>
      </c>
      <c r="I228" s="17"/>
      <c r="J228" s="152" t="str">
        <f>IF($J$224=16,O209,"")</f>
        <v/>
      </c>
      <c r="K228" s="17"/>
      <c r="L228" s="17"/>
      <c r="M228" s="17"/>
      <c r="N228" s="17"/>
      <c r="O228" s="21" t="s">
        <v>63</v>
      </c>
      <c r="P228" s="17"/>
      <c r="Q228" s="17">
        <v>15</v>
      </c>
      <c r="R228" s="17"/>
      <c r="S228" s="22"/>
      <c r="T228" s="21"/>
      <c r="U228" s="23"/>
      <c r="V228" s="23"/>
      <c r="W228" s="23"/>
      <c r="X228" s="17"/>
      <c r="Y228" s="17"/>
    </row>
    <row r="229" spans="1:25" hidden="1">
      <c r="A229" s="17"/>
      <c r="B229" s="17" t="str">
        <f t="shared" si="2"/>
        <v/>
      </c>
      <c r="C229" s="17"/>
      <c r="D229" s="17" t="str">
        <f t="shared" si="3"/>
        <v/>
      </c>
      <c r="E229" s="17"/>
      <c r="F229" s="17"/>
      <c r="G229" s="17"/>
      <c r="H229" s="17" t="str">
        <f>IF($H$224=14,O210,IF(H224=15,O210,""))</f>
        <v/>
      </c>
      <c r="I229" s="17"/>
      <c r="J229" s="152" t="str">
        <f>IF($J$224=14,O210,IF(J224=15,O210,""))</f>
        <v/>
      </c>
      <c r="K229" s="17"/>
      <c r="L229" s="17"/>
      <c r="M229" s="17"/>
      <c r="N229" s="17"/>
      <c r="O229" s="21" t="s">
        <v>62</v>
      </c>
      <c r="P229" s="17"/>
      <c r="Q229" s="17">
        <v>16</v>
      </c>
      <c r="R229" s="17"/>
      <c r="S229" s="22"/>
      <c r="T229" s="21"/>
      <c r="U229" s="23"/>
      <c r="V229" s="23"/>
      <c r="W229" s="23"/>
      <c r="X229" s="17"/>
      <c r="Y229" s="17"/>
    </row>
    <row r="230" spans="1:25" hidden="1">
      <c r="A230" s="17"/>
      <c r="B230" s="17" t="str">
        <f t="shared" si="2"/>
        <v/>
      </c>
      <c r="C230" s="17"/>
      <c r="D230" s="17" t="str">
        <f t="shared" si="3"/>
        <v/>
      </c>
      <c r="E230" s="71"/>
      <c r="F230" s="17"/>
      <c r="G230" s="17"/>
      <c r="H230" s="17" t="str">
        <f>IF($H$224=14,O211,IF(H224=15,O211,""))</f>
        <v/>
      </c>
      <c r="I230" s="17"/>
      <c r="J230" s="152" t="str">
        <f>IF($J$224=14,O211,IF(J224=15,O211,""))</f>
        <v/>
      </c>
      <c r="K230" s="17"/>
      <c r="L230" s="17"/>
      <c r="M230" s="17"/>
      <c r="N230" s="17"/>
      <c r="O230" s="21" t="s">
        <v>61</v>
      </c>
      <c r="P230" s="17"/>
      <c r="Q230" s="17">
        <v>5</v>
      </c>
      <c r="R230" s="17"/>
      <c r="S230" s="22"/>
      <c r="T230" s="21"/>
      <c r="U230" s="23"/>
      <c r="V230" s="23"/>
      <c r="W230" s="23"/>
      <c r="X230" s="17"/>
      <c r="Y230" s="17"/>
    </row>
    <row r="231" spans="1:25" hidden="1">
      <c r="A231" s="17"/>
      <c r="B231" s="17" t="str">
        <f t="shared" si="2"/>
        <v/>
      </c>
      <c r="C231" s="17"/>
      <c r="D231" s="17" t="str">
        <f t="shared" si="3"/>
        <v/>
      </c>
      <c r="E231" s="17"/>
      <c r="F231" s="17"/>
      <c r="G231" s="17"/>
      <c r="H231" s="17" t="str">
        <f>IF($H$224=14,O212,IF(H224=15,O212,""))</f>
        <v/>
      </c>
      <c r="I231" s="17"/>
      <c r="J231" s="152" t="str">
        <f>IF($J$224=14,O212,IF(J224=15,O212,""))</f>
        <v/>
      </c>
      <c r="K231" s="17"/>
      <c r="L231" s="17"/>
      <c r="M231" s="17"/>
      <c r="N231" s="17"/>
      <c r="O231" s="21" t="s">
        <v>60</v>
      </c>
      <c r="P231" s="17"/>
      <c r="Q231" s="17">
        <v>17</v>
      </c>
      <c r="R231" s="17"/>
      <c r="S231" s="22"/>
      <c r="T231" s="21"/>
      <c r="U231" s="23"/>
      <c r="V231" s="23"/>
      <c r="W231" s="23"/>
      <c r="X231" s="17"/>
      <c r="Y231" s="17"/>
    </row>
    <row r="232" spans="1:25" hidden="1">
      <c r="A232" s="17"/>
      <c r="B232" s="17" t="str">
        <f t="shared" si="2"/>
        <v/>
      </c>
      <c r="C232" s="17"/>
      <c r="D232" s="17" t="str">
        <f t="shared" si="3"/>
        <v/>
      </c>
      <c r="E232" s="17"/>
      <c r="F232" s="17"/>
      <c r="G232" s="17"/>
      <c r="H232" s="17" t="str">
        <f>IF($H$224=14,O213,IF(H224=15,O213,""))</f>
        <v/>
      </c>
      <c r="I232" s="17"/>
      <c r="J232" s="152" t="str">
        <f>IF($J$224=14,O213,IF(J224=15,O213,""))</f>
        <v/>
      </c>
      <c r="K232" s="17"/>
      <c r="L232" s="17"/>
      <c r="M232" s="17"/>
      <c r="N232" s="17"/>
      <c r="O232" s="21" t="s">
        <v>59</v>
      </c>
      <c r="P232" s="17"/>
      <c r="Q232" s="17">
        <v>18</v>
      </c>
      <c r="R232" s="17"/>
      <c r="S232" s="22"/>
      <c r="T232" s="21"/>
      <c r="U232" s="23"/>
      <c r="V232" s="23"/>
      <c r="W232" s="23"/>
      <c r="X232" s="17"/>
      <c r="Y232" s="17"/>
    </row>
    <row r="233" spans="1:25" hidden="1">
      <c r="A233" s="17"/>
      <c r="B233" s="17" t="str">
        <f t="shared" si="2"/>
        <v/>
      </c>
      <c r="C233" s="17"/>
      <c r="D233" s="17" t="str">
        <f t="shared" si="3"/>
        <v/>
      </c>
      <c r="E233" s="17"/>
      <c r="F233" s="17"/>
      <c r="G233" s="17"/>
      <c r="H233" s="17" t="str">
        <f>IF($H$224=16,O215,IF($H$224=14,O230,IF($H$224=15,O230,"")))</f>
        <v/>
      </c>
      <c r="I233" s="17"/>
      <c r="J233" s="152" t="str">
        <f>IF($J$224=16,O215,IF($J$224=14,O230,IF($J$224=15,O230,"")))</f>
        <v/>
      </c>
      <c r="K233" s="17"/>
      <c r="L233" s="17"/>
      <c r="M233" s="17"/>
      <c r="N233" s="17"/>
      <c r="O233" s="21" t="s">
        <v>58</v>
      </c>
      <c r="P233" s="17"/>
      <c r="Q233" s="17">
        <v>19</v>
      </c>
      <c r="R233" s="17"/>
      <c r="S233" s="22"/>
      <c r="T233" s="21"/>
      <c r="U233" s="23"/>
      <c r="V233" s="23"/>
      <c r="W233" s="23"/>
      <c r="X233" s="17"/>
      <c r="Y233" s="17"/>
    </row>
    <row r="234" spans="1:25" hidden="1">
      <c r="A234" s="17"/>
      <c r="B234" s="17" t="str">
        <f t="shared" si="2"/>
        <v/>
      </c>
      <c r="C234" s="17"/>
      <c r="D234" s="17" t="str">
        <f t="shared" si="3"/>
        <v/>
      </c>
      <c r="E234" s="17"/>
      <c r="F234" s="17"/>
      <c r="G234" s="17"/>
      <c r="H234" s="17" t="str">
        <f>IF($H$224=16,O216,"")</f>
        <v/>
      </c>
      <c r="I234" s="17"/>
      <c r="J234" s="152" t="str">
        <f>IF($J$224=16,O216,"")</f>
        <v/>
      </c>
      <c r="K234" s="17"/>
      <c r="L234" s="17"/>
      <c r="M234" s="17"/>
      <c r="N234" s="17"/>
      <c r="O234" s="153" t="s">
        <v>57</v>
      </c>
      <c r="P234" s="17"/>
      <c r="Q234" s="17">
        <v>20</v>
      </c>
      <c r="R234" s="17"/>
      <c r="S234" s="22"/>
      <c r="T234" s="21"/>
      <c r="U234" s="23"/>
      <c r="V234" s="23"/>
      <c r="W234" s="23"/>
      <c r="X234" s="17"/>
      <c r="Y234" s="17"/>
    </row>
    <row r="235" spans="1:25" hidden="1">
      <c r="A235" s="17"/>
      <c r="B235" s="17" t="str">
        <f t="shared" si="2"/>
        <v/>
      </c>
      <c r="C235" s="17"/>
      <c r="D235" s="17" t="str">
        <f t="shared" si="3"/>
        <v/>
      </c>
      <c r="E235" s="17"/>
      <c r="F235" s="17"/>
      <c r="G235" s="17"/>
      <c r="H235" s="17" t="str">
        <f>IF($H$224=16,O217,"")</f>
        <v/>
      </c>
      <c r="I235" s="17"/>
      <c r="J235" s="152" t="str">
        <f>IF($J$224=16,O217,"")</f>
        <v/>
      </c>
      <c r="K235" s="17"/>
      <c r="L235" s="17"/>
      <c r="M235" s="17"/>
      <c r="N235" s="17"/>
      <c r="O235" s="154"/>
      <c r="P235" s="17"/>
      <c r="R235" s="17"/>
      <c r="S235" s="22"/>
      <c r="T235" s="21"/>
      <c r="U235" s="23"/>
      <c r="V235" s="23"/>
      <c r="W235" s="23"/>
      <c r="X235" s="17"/>
      <c r="Y235" s="17"/>
    </row>
    <row r="236" spans="1:25" hidden="1">
      <c r="A236" s="17"/>
      <c r="B236" s="17" t="str">
        <f>IF($B$222="1",K221,"")</f>
        <v/>
      </c>
      <c r="C236" s="17"/>
      <c r="D236" s="17" t="str">
        <f>IF($D$222="1",K221,"")</f>
        <v/>
      </c>
      <c r="E236" s="17"/>
      <c r="F236" s="17"/>
      <c r="G236" s="17"/>
      <c r="H236" s="17" t="str">
        <f t="shared" ref="H236:H245" si="4">IF($H$224=16,O220,"")</f>
        <v/>
      </c>
      <c r="I236" s="17"/>
      <c r="J236" s="152" t="str">
        <f t="shared" ref="J236:J245" si="5">IF($J$224=16,O220,"")</f>
        <v/>
      </c>
      <c r="K236" s="17"/>
      <c r="L236" s="17"/>
      <c r="M236" s="17"/>
      <c r="N236" s="17"/>
      <c r="O236" s="154"/>
      <c r="P236" s="17"/>
      <c r="Q236" s="17"/>
      <c r="R236" s="17"/>
      <c r="S236" s="22"/>
      <c r="T236" s="21"/>
      <c r="U236" s="23"/>
      <c r="V236" s="23"/>
      <c r="W236" s="23"/>
      <c r="X236" s="17"/>
      <c r="Y236" s="17"/>
    </row>
    <row r="237" spans="1:25" hidden="1">
      <c r="A237" s="17"/>
      <c r="B237" s="17"/>
      <c r="C237" s="17"/>
      <c r="D237" s="17"/>
      <c r="E237" s="17"/>
      <c r="F237" s="17"/>
      <c r="G237" s="17"/>
      <c r="H237" s="17" t="str">
        <f t="shared" si="4"/>
        <v/>
      </c>
      <c r="I237" s="17"/>
      <c r="J237" s="152" t="str">
        <f t="shared" si="5"/>
        <v/>
      </c>
      <c r="K237" s="17"/>
      <c r="L237" s="17"/>
      <c r="M237" s="17"/>
      <c r="N237" s="17"/>
      <c r="O237" s="130"/>
      <c r="P237" s="17"/>
      <c r="Q237" s="17"/>
      <c r="R237" s="17"/>
      <c r="S237" s="22"/>
      <c r="T237" s="21"/>
      <c r="U237" s="23"/>
      <c r="V237" s="23"/>
      <c r="W237" s="23"/>
      <c r="X237" s="17"/>
      <c r="Y237" s="17"/>
    </row>
    <row r="238" spans="1:25" hidden="1">
      <c r="A238" s="17"/>
      <c r="B238" s="17"/>
      <c r="C238" s="17"/>
      <c r="D238" s="17"/>
      <c r="E238" s="17"/>
      <c r="F238" s="17"/>
      <c r="G238" s="17"/>
      <c r="H238" s="17" t="str">
        <f t="shared" si="4"/>
        <v/>
      </c>
      <c r="I238" s="17"/>
      <c r="J238" s="152" t="str">
        <f t="shared" si="5"/>
        <v/>
      </c>
      <c r="K238" s="17"/>
      <c r="L238" s="17"/>
      <c r="M238" s="17"/>
      <c r="N238" s="17"/>
      <c r="O238" s="17"/>
      <c r="P238" s="17"/>
      <c r="Q238" s="17"/>
      <c r="R238" s="17"/>
      <c r="S238" s="22"/>
      <c r="T238" s="21"/>
      <c r="U238" s="23"/>
      <c r="V238" s="23"/>
      <c r="W238" s="23"/>
      <c r="X238" s="17"/>
      <c r="Y238" s="17"/>
    </row>
    <row r="239" spans="1:25" hidden="1">
      <c r="A239" s="17"/>
      <c r="B239" s="17"/>
      <c r="C239" s="17"/>
      <c r="D239" s="17"/>
      <c r="E239" s="17"/>
      <c r="F239" s="17"/>
      <c r="G239" s="17"/>
      <c r="H239" s="17" t="str">
        <f t="shared" si="4"/>
        <v/>
      </c>
      <c r="I239" s="17"/>
      <c r="J239" s="152" t="str">
        <f t="shared" si="5"/>
        <v/>
      </c>
      <c r="K239" s="17"/>
      <c r="L239" s="17"/>
      <c r="M239" s="17"/>
      <c r="N239" s="17"/>
      <c r="O239" s="17"/>
      <c r="P239" s="17"/>
      <c r="Q239" s="17"/>
      <c r="R239" s="17"/>
      <c r="S239" s="22"/>
      <c r="T239" s="21"/>
      <c r="U239" s="23"/>
      <c r="V239" s="23"/>
      <c r="W239" s="23"/>
      <c r="X239" s="17"/>
      <c r="Y239" s="17"/>
    </row>
    <row r="240" spans="1:25" hidden="1">
      <c r="A240" s="17"/>
      <c r="B240" s="17"/>
      <c r="C240" s="17"/>
      <c r="D240" s="17"/>
      <c r="E240" s="17"/>
      <c r="F240" s="17"/>
      <c r="G240" s="17"/>
      <c r="H240" s="17" t="str">
        <f t="shared" si="4"/>
        <v/>
      </c>
      <c r="I240" s="17"/>
      <c r="J240" s="152" t="str">
        <f t="shared" si="5"/>
        <v/>
      </c>
      <c r="K240" s="17"/>
      <c r="L240" s="17"/>
      <c r="M240" s="17"/>
      <c r="N240" s="17"/>
      <c r="O240" s="17"/>
      <c r="P240" s="17"/>
      <c r="Q240" s="17"/>
      <c r="R240" s="17"/>
      <c r="S240" s="22"/>
      <c r="T240" s="21"/>
      <c r="U240" s="23"/>
      <c r="V240" s="23"/>
      <c r="W240" s="23"/>
      <c r="X240" s="17"/>
      <c r="Y240" s="17"/>
    </row>
    <row r="241" spans="1:25" hidden="1">
      <c r="A241" s="17"/>
      <c r="B241" s="17"/>
      <c r="C241" s="17"/>
      <c r="D241" s="17"/>
      <c r="E241" s="17"/>
      <c r="F241" s="17"/>
      <c r="G241" s="17"/>
      <c r="H241" s="17" t="str">
        <f t="shared" si="4"/>
        <v/>
      </c>
      <c r="I241" s="17"/>
      <c r="J241" s="152" t="str">
        <f t="shared" si="5"/>
        <v/>
      </c>
      <c r="K241" s="17"/>
      <c r="L241" s="17"/>
      <c r="M241" s="17"/>
      <c r="N241" s="17"/>
      <c r="O241" s="17"/>
      <c r="P241" s="17"/>
      <c r="Q241" s="17"/>
      <c r="R241" s="17"/>
      <c r="S241" s="22"/>
      <c r="T241" s="21"/>
      <c r="U241" s="23"/>
      <c r="V241" s="23"/>
      <c r="W241" s="23"/>
      <c r="X241" s="17"/>
      <c r="Y241" s="17"/>
    </row>
    <row r="242" spans="1:25" hidden="1">
      <c r="A242" s="17"/>
      <c r="B242" s="17"/>
      <c r="C242" s="17"/>
      <c r="D242" s="17"/>
      <c r="E242" s="17"/>
      <c r="F242" s="17"/>
      <c r="G242" s="17"/>
      <c r="H242" s="17" t="str">
        <f t="shared" si="4"/>
        <v/>
      </c>
      <c r="I242" s="17"/>
      <c r="J242" s="152" t="str">
        <f t="shared" si="5"/>
        <v/>
      </c>
      <c r="K242" s="17"/>
      <c r="L242" s="17"/>
      <c r="M242" s="17"/>
      <c r="N242" s="17"/>
      <c r="O242" s="17"/>
      <c r="P242" s="17"/>
      <c r="Q242" s="17"/>
      <c r="R242" s="17"/>
      <c r="S242" s="22"/>
      <c r="T242" s="21"/>
      <c r="U242" s="23"/>
      <c r="V242" s="23"/>
      <c r="W242" s="23"/>
      <c r="X242" s="17"/>
      <c r="Y242" s="17"/>
    </row>
    <row r="243" spans="1:25" hidden="1">
      <c r="A243" s="17"/>
      <c r="B243" s="17"/>
      <c r="C243" s="17"/>
      <c r="D243" s="17"/>
      <c r="E243" s="17"/>
      <c r="F243" s="17"/>
      <c r="G243" s="17"/>
      <c r="H243" s="17" t="str">
        <f t="shared" si="4"/>
        <v/>
      </c>
      <c r="I243" s="17"/>
      <c r="J243" s="152" t="str">
        <f t="shared" si="5"/>
        <v/>
      </c>
      <c r="K243" s="17"/>
      <c r="L243" s="17"/>
      <c r="M243" s="17"/>
      <c r="N243" s="17"/>
      <c r="O243" s="17"/>
      <c r="P243" s="17"/>
      <c r="Q243" s="17"/>
      <c r="R243" s="17"/>
      <c r="S243" s="22"/>
      <c r="T243" s="21"/>
      <c r="U243" s="23"/>
      <c r="V243" s="23"/>
      <c r="W243" s="23"/>
      <c r="X243" s="17"/>
      <c r="Y243" s="17"/>
    </row>
    <row r="244" spans="1:25" hidden="1">
      <c r="A244" s="17"/>
      <c r="B244" s="17"/>
      <c r="C244" s="17"/>
      <c r="D244" s="17"/>
      <c r="E244" s="17"/>
      <c r="F244" s="17"/>
      <c r="G244" s="17"/>
      <c r="H244" s="17" t="str">
        <f t="shared" si="4"/>
        <v/>
      </c>
      <c r="I244" s="17"/>
      <c r="J244" s="152" t="str">
        <f t="shared" si="5"/>
        <v/>
      </c>
      <c r="K244" s="17"/>
      <c r="L244" s="17"/>
      <c r="M244" s="17"/>
      <c r="N244" s="17"/>
      <c r="O244" s="17"/>
      <c r="P244" s="17"/>
      <c r="Q244" s="17"/>
      <c r="R244" s="17"/>
      <c r="S244" s="22"/>
      <c r="T244" s="21"/>
      <c r="U244" s="23"/>
      <c r="V244" s="23"/>
      <c r="W244" s="23"/>
      <c r="X244" s="17"/>
      <c r="Y244" s="17"/>
    </row>
    <row r="245" spans="1:25" hidden="1">
      <c r="A245" s="17"/>
      <c r="B245" s="17"/>
      <c r="C245" s="17"/>
      <c r="D245" s="17"/>
      <c r="E245" s="17"/>
      <c r="F245" s="17"/>
      <c r="G245" s="17"/>
      <c r="H245" s="17" t="str">
        <f t="shared" si="4"/>
        <v/>
      </c>
      <c r="I245" s="17"/>
      <c r="J245" s="152" t="str">
        <f t="shared" si="5"/>
        <v/>
      </c>
      <c r="K245" s="17"/>
      <c r="L245" s="17"/>
      <c r="M245" s="17"/>
      <c r="N245" s="17"/>
      <c r="O245" s="17"/>
      <c r="P245" s="17"/>
      <c r="Q245" s="17"/>
      <c r="R245" s="17"/>
      <c r="S245" s="22"/>
      <c r="T245" s="21"/>
      <c r="U245" s="23"/>
      <c r="V245" s="23"/>
      <c r="W245" s="23"/>
      <c r="X245" s="17"/>
      <c r="Y245" s="17"/>
    </row>
    <row r="246" spans="1:25" hidden="1">
      <c r="A246" s="17"/>
      <c r="B246" s="17"/>
      <c r="C246" s="17"/>
      <c r="D246" s="17"/>
      <c r="E246" s="17"/>
      <c r="F246" s="17"/>
      <c r="G246" s="17"/>
      <c r="H246" s="17" t="str">
        <f>IF($H$224=16,O231,"")</f>
        <v/>
      </c>
      <c r="I246" s="17"/>
      <c r="J246" s="152" t="str">
        <f>IF($J$224=16,O231,"")</f>
        <v/>
      </c>
      <c r="K246" s="17"/>
      <c r="L246" s="17"/>
      <c r="M246" s="17"/>
      <c r="N246" s="17"/>
      <c r="O246" s="17"/>
      <c r="P246" s="17"/>
      <c r="Q246" s="17"/>
      <c r="R246" s="17"/>
      <c r="S246" s="22"/>
      <c r="T246" s="21"/>
      <c r="U246" s="23"/>
      <c r="V246" s="23"/>
      <c r="W246" s="23"/>
      <c r="X246" s="17"/>
      <c r="Y246" s="17"/>
    </row>
    <row r="247" spans="1:25" hidden="1">
      <c r="A247" s="17"/>
      <c r="B247" s="17"/>
      <c r="C247" s="17"/>
      <c r="D247" s="17"/>
      <c r="E247" s="17"/>
      <c r="F247" s="17"/>
      <c r="G247" s="17"/>
      <c r="H247" s="17" t="str">
        <f>IF($H$224=16,O232,"")</f>
        <v/>
      </c>
      <c r="I247" s="17"/>
      <c r="J247" s="152" t="str">
        <f>IF($J$224=16,O232,"")</f>
        <v/>
      </c>
      <c r="K247" s="17"/>
      <c r="L247" s="17"/>
      <c r="M247" s="17"/>
      <c r="N247" s="17"/>
      <c r="O247" s="17"/>
      <c r="P247" s="17"/>
      <c r="Q247" s="17"/>
      <c r="R247" s="17"/>
      <c r="S247" s="22"/>
      <c r="T247" s="21"/>
      <c r="U247" s="23"/>
      <c r="V247" s="23"/>
      <c r="W247" s="23"/>
      <c r="X247" s="17"/>
      <c r="Y247" s="17"/>
    </row>
    <row r="248" spans="1:25" hidden="1">
      <c r="A248" s="17"/>
      <c r="B248" s="17"/>
      <c r="C248" s="17"/>
      <c r="D248" s="17"/>
      <c r="E248" s="17"/>
      <c r="F248" s="17"/>
      <c r="G248" s="17"/>
      <c r="H248" s="17" t="str">
        <f>IF($H$224=16,O233,"")</f>
        <v/>
      </c>
      <c r="I248" s="17"/>
      <c r="J248" s="152" t="str">
        <f>IF($J$224=16,O233,"")</f>
        <v/>
      </c>
      <c r="K248" s="17"/>
      <c r="L248" s="17"/>
      <c r="M248" s="17"/>
      <c r="N248" s="17"/>
      <c r="O248" s="17"/>
      <c r="P248" s="17"/>
      <c r="Q248" s="17"/>
      <c r="R248" s="17"/>
      <c r="S248" s="22"/>
      <c r="T248" s="21"/>
      <c r="U248" s="23"/>
      <c r="V248" s="23"/>
      <c r="W248" s="23"/>
      <c r="X248" s="17"/>
      <c r="Y248" s="17"/>
    </row>
    <row r="249" spans="1:25" hidden="1">
      <c r="A249" s="17"/>
      <c r="B249" s="27"/>
      <c r="C249" s="17"/>
      <c r="D249" s="17"/>
      <c r="E249" s="17"/>
      <c r="F249" s="17"/>
      <c r="G249" s="17"/>
      <c r="H249" s="17" t="str">
        <f>IF($H$224=16,O234,"")</f>
        <v/>
      </c>
      <c r="I249" s="17"/>
      <c r="J249" s="152" t="str">
        <f>IF($J$224=16,O234,"")</f>
        <v/>
      </c>
      <c r="K249" s="17"/>
      <c r="L249" s="17"/>
      <c r="M249" s="17"/>
      <c r="N249" s="17"/>
      <c r="O249" s="17"/>
      <c r="P249" s="17"/>
      <c r="Q249" s="17"/>
      <c r="R249" s="17"/>
      <c r="S249" s="22"/>
      <c r="T249" s="21"/>
      <c r="U249" s="23"/>
      <c r="V249" s="23"/>
      <c r="W249" s="23"/>
      <c r="X249" s="17"/>
      <c r="Y249" s="17"/>
    </row>
    <row r="250" spans="1:25" hidden="1">
      <c r="A250" s="17"/>
      <c r="B250" s="27"/>
      <c r="C250" s="71"/>
      <c r="D250" s="71"/>
      <c r="E250" s="71"/>
      <c r="F250" s="71"/>
      <c r="G250" s="17"/>
      <c r="H250" s="17" t="str">
        <f>IF($H$224=16,O235,"")</f>
        <v/>
      </c>
      <c r="I250" s="17"/>
      <c r="J250" s="152" t="str">
        <f>IF($J$224=16,O235,"")</f>
        <v/>
      </c>
      <c r="K250" s="17"/>
      <c r="L250" s="17"/>
      <c r="M250" s="17"/>
      <c r="N250" s="17"/>
      <c r="O250" s="17"/>
      <c r="P250" s="17"/>
      <c r="Q250" s="17"/>
      <c r="R250" s="17"/>
      <c r="S250" s="22"/>
      <c r="T250" s="21"/>
      <c r="U250" s="23"/>
      <c r="V250" s="23"/>
      <c r="W250" s="23"/>
      <c r="X250" s="17"/>
      <c r="Y250" s="17"/>
    </row>
    <row r="251" spans="1:25" hidden="1">
      <c r="A251" s="17"/>
      <c r="B251" s="27"/>
      <c r="C251" s="71"/>
      <c r="D251" s="71"/>
      <c r="E251" s="71"/>
      <c r="F251" s="71"/>
      <c r="G251" s="17"/>
      <c r="H251" s="17"/>
      <c r="I251" s="17"/>
      <c r="J251" s="152"/>
      <c r="K251" s="17"/>
      <c r="L251" s="17"/>
      <c r="M251" s="17"/>
      <c r="N251" s="17"/>
      <c r="O251" s="17"/>
      <c r="P251" s="17"/>
      <c r="Q251" s="17"/>
      <c r="R251" s="17"/>
      <c r="S251" s="22"/>
      <c r="T251" s="21"/>
      <c r="U251" s="23"/>
      <c r="V251" s="23"/>
      <c r="W251" s="23"/>
      <c r="X251" s="17"/>
      <c r="Y251" s="17"/>
    </row>
    <row r="252" spans="1:25" hidden="1">
      <c r="A252" s="17"/>
      <c r="B252" s="17"/>
      <c r="C252" s="71"/>
      <c r="D252" s="71"/>
      <c r="E252" s="71"/>
      <c r="F252" s="71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22"/>
      <c r="T252" s="21"/>
      <c r="U252" s="23"/>
      <c r="V252" s="23"/>
      <c r="W252" s="23"/>
      <c r="X252" s="17"/>
      <c r="Y252" s="17"/>
    </row>
    <row r="253" spans="1:25" hidden="1">
      <c r="A253" s="17"/>
      <c r="B253" s="17"/>
      <c r="C253" s="71"/>
      <c r="D253" s="71"/>
      <c r="E253" s="71"/>
      <c r="F253" s="71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 spans="1:25" hidden="1">
      <c r="A254" s="17"/>
      <c r="B254" s="17"/>
      <c r="C254" s="71"/>
      <c r="D254" s="71"/>
      <c r="E254" s="71"/>
      <c r="F254" s="71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 spans="1:25" hidden="1">
      <c r="A255" s="17"/>
      <c r="B255" s="17"/>
      <c r="C255" s="71"/>
      <c r="D255" s="71"/>
      <c r="E255" s="71"/>
      <c r="F255" s="71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 spans="1:25" hidden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 spans="1:25" hidden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 spans="1:25" hidden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 spans="1:25" hidden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 spans="1:25" hidden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 spans="1:25" hidden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 spans="1:25" hidden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 spans="1:25" hidden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 spans="1:25" hidden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 spans="1:25" hidden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 spans="1:25" hidden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 spans="1:25" hidden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 spans="1:25" hidden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 spans="1:25" hidden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 spans="1:25" hidden="1">
      <c r="A270" s="17"/>
      <c r="B270" s="28" t="s">
        <v>77</v>
      </c>
      <c r="C270" s="25"/>
      <c r="D270" s="25"/>
      <c r="E270" s="25"/>
      <c r="F270" s="25"/>
      <c r="G270" s="17"/>
      <c r="H270" s="17"/>
      <c r="I270" s="28" t="s">
        <v>77</v>
      </c>
      <c r="J270" s="25"/>
      <c r="K270" s="25"/>
      <c r="L270" s="25"/>
      <c r="M270" s="25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 spans="1:25" hidden="1">
      <c r="A271" s="17"/>
      <c r="B271" s="28" t="s">
        <v>76</v>
      </c>
      <c r="C271" s="26"/>
      <c r="D271" s="26"/>
      <c r="E271" s="27" t="str">
        <f>IF($B$234="ton (Mg)",#REF!/1000,"-   ")</f>
        <v xml:space="preserve">-   </v>
      </c>
      <c r="F271" s="17" t="s">
        <v>75</v>
      </c>
      <c r="G271" s="17"/>
      <c r="H271" s="17"/>
      <c r="I271" s="28" t="s">
        <v>76</v>
      </c>
      <c r="J271" s="26"/>
      <c r="K271" s="26"/>
      <c r="L271" s="27" t="str">
        <f>IF($E$233="ton (Mg)",#REF!/1000,"-   ")</f>
        <v xml:space="preserve">-   </v>
      </c>
      <c r="M271" s="17" t="s">
        <v>75</v>
      </c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 spans="1:25" hidden="1">
      <c r="A272" s="17"/>
      <c r="B272" s="28" t="s">
        <v>73</v>
      </c>
      <c r="C272" s="26"/>
      <c r="D272" s="26"/>
      <c r="E272" s="27" t="e">
        <f>IF(#REF!="m3",#REF!/1000000,"-   ")</f>
        <v>#REF!</v>
      </c>
      <c r="F272" s="17" t="s">
        <v>72</v>
      </c>
      <c r="G272" s="17"/>
      <c r="H272" s="17"/>
      <c r="I272" s="28" t="s">
        <v>73</v>
      </c>
      <c r="J272" s="26"/>
      <c r="K272" s="26"/>
      <c r="L272" s="27" t="e">
        <f>IF(#REF!="m3",#REF!/1000000,"-   ")</f>
        <v>#REF!</v>
      </c>
      <c r="M272" s="17" t="s">
        <v>72</v>
      </c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 spans="1:25" hidden="1">
      <c r="A273" s="17"/>
      <c r="B273" s="28" t="s">
        <v>70</v>
      </c>
      <c r="C273" s="26"/>
      <c r="D273" s="26"/>
      <c r="E273" s="27" t="str">
        <f>IF($B$234="m3",#REF!/#REF!,"-   ")</f>
        <v xml:space="preserve">-   </v>
      </c>
      <c r="F273" s="17" t="s">
        <v>69</v>
      </c>
      <c r="G273" s="17"/>
      <c r="H273" s="17"/>
      <c r="I273" s="28" t="s">
        <v>70</v>
      </c>
      <c r="J273" s="26"/>
      <c r="K273" s="26"/>
      <c r="L273" s="27" t="str">
        <f>IF($E$233="m3",#REF!/#REF!,"-   ")</f>
        <v xml:space="preserve">-   </v>
      </c>
      <c r="M273" s="17" t="s">
        <v>69</v>
      </c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 spans="1:25" hidden="1">
      <c r="A274" s="17"/>
      <c r="B274" s="28" t="s">
        <v>142</v>
      </c>
      <c r="C274" s="26"/>
      <c r="D274" s="26"/>
      <c r="E274" s="69" t="str">
        <f>IF($B$234="kg",#REF!/0.73/10^6,"-   ")</f>
        <v xml:space="preserve">-   </v>
      </c>
      <c r="F274" s="17" t="s">
        <v>72</v>
      </c>
      <c r="G274" s="17"/>
      <c r="H274" s="17"/>
      <c r="I274" s="28" t="s">
        <v>142</v>
      </c>
      <c r="J274" s="26"/>
      <c r="K274" s="26"/>
      <c r="L274" s="69" t="str">
        <f>IF($E$233="kg",#REF!/0.73/10^6,"-   ")</f>
        <v xml:space="preserve">-   </v>
      </c>
      <c r="M274" s="17" t="s">
        <v>72</v>
      </c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 spans="1:25" hidden="1">
      <c r="A275" s="17"/>
      <c r="B275" s="28" t="s">
        <v>140</v>
      </c>
      <c r="C275" s="26"/>
      <c r="D275" s="26"/>
      <c r="E275" s="27" t="str">
        <f>IF($B$234="kg",#REF!/580,"-   ")</f>
        <v xml:space="preserve">-   </v>
      </c>
      <c r="F275" s="17" t="s">
        <v>141</v>
      </c>
      <c r="G275" s="25"/>
      <c r="H275" s="17"/>
      <c r="I275" s="28" t="s">
        <v>140</v>
      </c>
      <c r="J275" s="26"/>
      <c r="K275" s="26"/>
      <c r="L275" s="27" t="str">
        <f>IF($E$233="kg",#REF!/580,"-   ")</f>
        <v xml:space="preserve">-   </v>
      </c>
      <c r="M275" s="17" t="s">
        <v>141</v>
      </c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 spans="1:25" hidden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 spans="1:25" ht="15.75" hidden="1" thickBot="1">
      <c r="A277" s="17"/>
      <c r="B277" s="20" t="s">
        <v>144</v>
      </c>
      <c r="C277" s="17"/>
      <c r="D277" s="17"/>
      <c r="E277" s="17"/>
      <c r="F277" s="17"/>
      <c r="G277" s="17"/>
      <c r="H277" s="17"/>
      <c r="I277" s="17">
        <v>15.6</v>
      </c>
      <c r="J277" s="17" t="s">
        <v>86</v>
      </c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 spans="1:25" ht="15" hidden="1" thickBot="1">
      <c r="A278" s="17"/>
      <c r="B278" s="73" t="s">
        <v>145</v>
      </c>
      <c r="C278" s="17"/>
      <c r="D278" s="17"/>
      <c r="E278" s="17"/>
      <c r="F278" s="17"/>
      <c r="G278" s="17"/>
      <c r="H278" s="17"/>
      <c r="I278" s="256">
        <v>0</v>
      </c>
      <c r="J278" s="17" t="s">
        <v>86</v>
      </c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 spans="1:25" hidden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 spans="1:25" hidden="1"/>
    <row r="281" spans="1:25" hidden="1"/>
    <row r="282" spans="1:25" hidden="1"/>
    <row r="283" spans="1:25" hidden="1"/>
    <row r="284" spans="1:25" hidden="1"/>
    <row r="285" spans="1:25" hidden="1"/>
    <row r="286" spans="1:25" hidden="1"/>
    <row r="287" spans="1:25" hidden="1"/>
    <row r="288" spans="1:2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</sheetData>
  <sheetProtection algorithmName="SHA-512" hashValue="Uwr9E1g4l6i7kbBku8lKnFnQspEWgApbwrVX1tuvph07w5GkTYA+GkWg42/AxgkiTghFVEoMgqvxvAnCdbsHew==" saltValue="x1qTC7zZptrbBj3km0HqPw==" spinCount="100000" sheet="1" formatRows="0"/>
  <mergeCells count="170">
    <mergeCell ref="A44:B44"/>
    <mergeCell ref="C44:D44"/>
    <mergeCell ref="E44:F44"/>
    <mergeCell ref="A45:B45"/>
    <mergeCell ref="C45:D45"/>
    <mergeCell ref="E45:F45"/>
    <mergeCell ref="A60:F60"/>
    <mergeCell ref="A47:B48"/>
    <mergeCell ref="C47:D47"/>
    <mergeCell ref="E47:F47"/>
    <mergeCell ref="A49:B49"/>
    <mergeCell ref="A50:B50"/>
    <mergeCell ref="A59:F59"/>
    <mergeCell ref="A25:B25"/>
    <mergeCell ref="C25:D25"/>
    <mergeCell ref="E25:F25"/>
    <mergeCell ref="A29:B30"/>
    <mergeCell ref="C29:D29"/>
    <mergeCell ref="E29:F29"/>
    <mergeCell ref="A41:B41"/>
    <mergeCell ref="C41:D41"/>
    <mergeCell ref="E41:F41"/>
    <mergeCell ref="A31:B31"/>
    <mergeCell ref="A32:B32"/>
    <mergeCell ref="A33:B33"/>
    <mergeCell ref="A34:B34"/>
    <mergeCell ref="A35:B35"/>
    <mergeCell ref="A39:B39"/>
    <mergeCell ref="C39:D39"/>
    <mergeCell ref="E39:F39"/>
    <mergeCell ref="A40:B40"/>
    <mergeCell ref="C40:D40"/>
    <mergeCell ref="E40:F40"/>
    <mergeCell ref="C15:D15"/>
    <mergeCell ref="E15:F15"/>
    <mergeCell ref="A24:B24"/>
    <mergeCell ref="C24:D24"/>
    <mergeCell ref="E24:F24"/>
    <mergeCell ref="C17:D17"/>
    <mergeCell ref="E17:F17"/>
    <mergeCell ref="C18:D18"/>
    <mergeCell ref="E18:F18"/>
    <mergeCell ref="A19:B19"/>
    <mergeCell ref="C19:D19"/>
    <mergeCell ref="E19:F19"/>
    <mergeCell ref="C22:D22"/>
    <mergeCell ref="E22:F22"/>
    <mergeCell ref="A23:B23"/>
    <mergeCell ref="C23:D23"/>
    <mergeCell ref="E23:F23"/>
    <mergeCell ref="AI1:AJ1"/>
    <mergeCell ref="A87:B87"/>
    <mergeCell ref="A88:B88"/>
    <mergeCell ref="B102:J103"/>
    <mergeCell ref="B104:D104"/>
    <mergeCell ref="C10:D10"/>
    <mergeCell ref="E10:F10"/>
    <mergeCell ref="A1:F1"/>
    <mergeCell ref="A2:F2"/>
    <mergeCell ref="A3:F3"/>
    <mergeCell ref="A5:F5"/>
    <mergeCell ref="A6:F6"/>
    <mergeCell ref="C16:D16"/>
    <mergeCell ref="E16:F16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A15:B15"/>
    <mergeCell ref="B111:E111"/>
    <mergeCell ref="G111:J111"/>
    <mergeCell ref="B113:C113"/>
    <mergeCell ref="G113:H113"/>
    <mergeCell ref="B114:E114"/>
    <mergeCell ref="G114:J114"/>
    <mergeCell ref="B105:J105"/>
    <mergeCell ref="B107:E107"/>
    <mergeCell ref="G107:J107"/>
    <mergeCell ref="B110:E110"/>
    <mergeCell ref="G110:J110"/>
    <mergeCell ref="B116:E116"/>
    <mergeCell ref="G116:J116"/>
    <mergeCell ref="B118:E118"/>
    <mergeCell ref="G118:J118"/>
    <mergeCell ref="AK118:AK126"/>
    <mergeCell ref="B119:E119"/>
    <mergeCell ref="G119:J119"/>
    <mergeCell ref="B121:E121"/>
    <mergeCell ref="G121:J121"/>
    <mergeCell ref="B122:E122"/>
    <mergeCell ref="G122:J122"/>
    <mergeCell ref="B124:E124"/>
    <mergeCell ref="G124:J124"/>
    <mergeCell ref="B125:E125"/>
    <mergeCell ref="G125:J125"/>
    <mergeCell ref="AK136:AK139"/>
    <mergeCell ref="B137:E137"/>
    <mergeCell ref="G137:J137"/>
    <mergeCell ref="C138:D138"/>
    <mergeCell ref="H138:I138"/>
    <mergeCell ref="B127:E127"/>
    <mergeCell ref="G127:J127"/>
    <mergeCell ref="AK127:AK135"/>
    <mergeCell ref="B128:E128"/>
    <mergeCell ref="G128:J128"/>
    <mergeCell ref="B130:E130"/>
    <mergeCell ref="G130:J130"/>
    <mergeCell ref="B131:E131"/>
    <mergeCell ref="G131:J131"/>
    <mergeCell ref="B134:E134"/>
    <mergeCell ref="G134:J134"/>
    <mergeCell ref="C135:D135"/>
    <mergeCell ref="H135:I135"/>
    <mergeCell ref="AJ148:AJ155"/>
    <mergeCell ref="AK148:AK151"/>
    <mergeCell ref="B152:E152"/>
    <mergeCell ref="G152:J152"/>
    <mergeCell ref="AK152:AK155"/>
    <mergeCell ref="B140:E140"/>
    <mergeCell ref="G140:J140"/>
    <mergeCell ref="AJ140:AJ147"/>
    <mergeCell ref="AK140:AK143"/>
    <mergeCell ref="C141:D141"/>
    <mergeCell ref="H141:I141"/>
    <mergeCell ref="B143:E143"/>
    <mergeCell ref="G143:J143"/>
    <mergeCell ref="C144:D144"/>
    <mergeCell ref="H144:I144"/>
    <mergeCell ref="AK144:AK147"/>
    <mergeCell ref="B146:E146"/>
    <mergeCell ref="G146:J146"/>
    <mergeCell ref="B169:E169"/>
    <mergeCell ref="Q170:S170"/>
    <mergeCell ref="T170:V170"/>
    <mergeCell ref="B171:E171"/>
    <mergeCell ref="T171:V171"/>
    <mergeCell ref="AK156:AK158"/>
    <mergeCell ref="B157:C157"/>
    <mergeCell ref="G157:H157"/>
    <mergeCell ref="B159:J159"/>
    <mergeCell ref="C164:D164"/>
    <mergeCell ref="O185:P185"/>
    <mergeCell ref="T185:V185"/>
    <mergeCell ref="H201:I201"/>
    <mergeCell ref="A13:B13"/>
    <mergeCell ref="A14:B14"/>
    <mergeCell ref="A16:B16"/>
    <mergeCell ref="A17:B17"/>
    <mergeCell ref="T180:V180"/>
    <mergeCell ref="T181:V181"/>
    <mergeCell ref="T182:V182"/>
    <mergeCell ref="T183:V183"/>
    <mergeCell ref="T184:V184"/>
    <mergeCell ref="B175:E175"/>
    <mergeCell ref="T175:V175"/>
    <mergeCell ref="O176:P176"/>
    <mergeCell ref="T176:V176"/>
    <mergeCell ref="Q179:S179"/>
    <mergeCell ref="T179:V179"/>
    <mergeCell ref="B172:E172"/>
    <mergeCell ref="T172:V172"/>
    <mergeCell ref="T173:V173"/>
    <mergeCell ref="B174:C174"/>
    <mergeCell ref="T174:V174"/>
    <mergeCell ref="B168:E168"/>
  </mergeCells>
  <conditionalFormatting sqref="C11:F19">
    <cfRule type="cellIs" dxfId="100" priority="9" operator="equal">
      <formula>""</formula>
    </cfRule>
  </conditionalFormatting>
  <conditionalFormatting sqref="C20">
    <cfRule type="cellIs" dxfId="99" priority="8" operator="equal">
      <formula>""</formula>
    </cfRule>
  </conditionalFormatting>
  <conditionalFormatting sqref="E20">
    <cfRule type="cellIs" dxfId="98" priority="7" operator="equal">
      <formula>""</formula>
    </cfRule>
  </conditionalFormatting>
  <conditionalFormatting sqref="C23:F25">
    <cfRule type="cellIs" dxfId="97" priority="6" operator="equal">
      <formula>""</formula>
    </cfRule>
  </conditionalFormatting>
  <conditionalFormatting sqref="C40:D40">
    <cfRule type="cellIs" dxfId="96" priority="5" operator="equal">
      <formula>""</formula>
    </cfRule>
  </conditionalFormatting>
  <conditionalFormatting sqref="C41:D41">
    <cfRule type="cellIs" dxfId="95" priority="4" operator="equal">
      <formula>""</formula>
    </cfRule>
  </conditionalFormatting>
  <conditionalFormatting sqref="E40:F40">
    <cfRule type="cellIs" dxfId="94" priority="3" operator="equal">
      <formula>""</formula>
    </cfRule>
  </conditionalFormatting>
  <conditionalFormatting sqref="E41:F41">
    <cfRule type="cellIs" dxfId="93" priority="2" operator="equal">
      <formula>""</formula>
    </cfRule>
  </conditionalFormatting>
  <conditionalFormatting sqref="A5:F5">
    <cfRule type="cellIs" dxfId="92" priority="1" operator="equal">
      <formula>""</formula>
    </cfRule>
  </conditionalFormatting>
  <dataValidations count="21">
    <dataValidation type="list" allowBlank="1" showInputMessage="1" showErrorMessage="1" sqref="E41:F41" xr:uid="{00000000-0002-0000-0300-000000000000}">
      <formula1>$J$226:$J$250</formula1>
    </dataValidation>
    <dataValidation type="list" allowBlank="1" showInputMessage="1" showErrorMessage="1" sqref="C41:D41" xr:uid="{00000000-0002-0000-0300-000001000000}">
      <formula1>$H$226:$H$250</formula1>
    </dataValidation>
    <dataValidation type="list" allowBlank="1" showInputMessage="1" showErrorMessage="1" sqref="E11:F11" xr:uid="{00000000-0002-0000-0300-000002000000}">
      <formula1>$R$105:$R$112</formula1>
    </dataValidation>
    <dataValidation type="list" allowBlank="1" showInputMessage="1" showErrorMessage="1" sqref="E18" xr:uid="{00000000-0002-0000-0300-000004000000}">
      <formula1>$R$152:$R$155</formula1>
    </dataValidation>
    <dataValidation type="list" allowBlank="1" showInputMessage="1" showErrorMessage="1" sqref="C18" xr:uid="{00000000-0002-0000-0300-000005000000}">
      <formula1>$R$143:$R$146</formula1>
    </dataValidation>
    <dataValidation type="list" allowBlank="1" showInputMessage="1" showErrorMessage="1" sqref="C40:D40" xr:uid="{00000000-0002-0000-0300-000006000000}">
      <formula1>$B$223:$B$236</formula1>
    </dataValidation>
    <dataValidation type="list" allowBlank="1" showInputMessage="1" showErrorMessage="1" sqref="E40:F40" xr:uid="{00000000-0002-0000-0300-000007000000}">
      <formula1>$D$223:$D$236</formula1>
    </dataValidation>
    <dataValidation type="decimal" operator="greaterThanOrEqual" allowBlank="1" showInputMessage="1" showErrorMessage="1" error="Wymagana wartość liczbowa" sqref="C19:F19 C23:D25 E24:F25" xr:uid="{00000000-0002-0000-0300-000008000000}">
      <formula1>0</formula1>
    </dataValidation>
    <dataValidation type="list" allowBlank="1" showInputMessage="1" showErrorMessage="1" sqref="C13:D13" xr:uid="{00000000-0002-0000-0300-000009000000}">
      <formula1>$T$106:$T$107</formula1>
    </dataValidation>
    <dataValidation type="list" allowBlank="1" showInputMessage="1" showErrorMessage="1" sqref="E13:F13" xr:uid="{00000000-0002-0000-0300-00000A000000}">
      <formula1>$T$110:$T$111</formula1>
    </dataValidation>
    <dataValidation type="list" errorStyle="warning" allowBlank="1" showInputMessage="1" showErrorMessage="1" sqref="C14:D14" xr:uid="{00000000-0002-0000-0300-00000B000000}">
      <formula1>IF(M117=0,C14,IF($M$117=1,$R$141,IF($M$117&lt;=3,$U$116:$U$117,IF($M$117&lt;=6,$R$141,$U$116:$U$117))))</formula1>
    </dataValidation>
    <dataValidation type="list" allowBlank="1" showInputMessage="1" showErrorMessage="1" sqref="C15:D15" xr:uid="{00000000-0002-0000-0300-00000C000000}">
      <formula1>IF(M117=0,"",IF($M$117&lt;=4,$R$141,IF($M$117&lt;=6,$R$127:$R$128,R141)))</formula1>
    </dataValidation>
    <dataValidation type="list" allowBlank="1" showInputMessage="1" showErrorMessage="1" sqref="Q100" xr:uid="{00000000-0002-0000-0300-00000D000000}">
      <formula1>IF(M117=0,"",IF($M$117&lt;=4,$R$141,IF($M$117&lt;=6,$R$127:$R$128,R141)))</formula1>
    </dataValidation>
    <dataValidation type="list" allowBlank="1" showInputMessage="1" showErrorMessage="1" sqref="C16:D16" xr:uid="{00000000-0002-0000-0300-00000E000000}">
      <formula1>IF($M$124=0,C16,IF($M$124&lt;2020,$R$141,IF($M$124&lt;3010,$U$119:$U$120,IF($M$124=3010,$R$141,IF($M$124=3020,$U$119:$U$120,IF(M124&gt;=4000,R141))))))</formula1>
    </dataValidation>
    <dataValidation type="list" allowBlank="1" showInputMessage="1" showErrorMessage="1" sqref="E15:F15" xr:uid="{00000000-0002-0000-0300-00000F000000}">
      <formula1>IF(O117=0,$E$15,IF($O$117&lt;=4,$R$141,IF($O$117&lt;=6,$R$127:$R$128,R141)))</formula1>
    </dataValidation>
    <dataValidation type="list" allowBlank="1" showInputMessage="1" showErrorMessage="1" sqref="C17:D17" xr:uid="{00000000-0002-0000-0300-000010000000}">
      <formula1>IF(M124=0,$C$17,IF($M$124&lt;2020,$R$141,IF($M$124&lt;3010,$U$122:$U$123,IF($M$124=3010,$R$141,IF($M$124=3020,$U$122:$U$123,$R$141)))))</formula1>
    </dataValidation>
    <dataValidation type="list" allowBlank="1" showInputMessage="1" showErrorMessage="1" sqref="E14:F14" xr:uid="{00000000-0002-0000-0300-000011000000}">
      <formula1>IF(O117=0,$E$14,IF($O$117=1,$R$141,IF($O$117&lt;=3,$U$116:$U$117,IF($O$117&lt;=6,$R$141,$U$116:$U$117))))</formula1>
    </dataValidation>
    <dataValidation type="list" allowBlank="1" showInputMessage="1" showErrorMessage="1" sqref="E16:F16" xr:uid="{00000000-0002-0000-0300-000012000000}">
      <formula1>IF(O124=0,$E$16,IF($O$124&lt;2020,$R$141,IF($O$124&lt;3010,$U$119:$U$120,IF($O$124=3010,$R$141,IF($O$124=3020,$U$119:$U$120,$R$141)))))</formula1>
    </dataValidation>
    <dataValidation type="list" allowBlank="1" showInputMessage="1" showErrorMessage="1" sqref="E17:F17" xr:uid="{00000000-0002-0000-0300-000013000000}">
      <formula1>IF(O124=0,$E$17,IF($O$124&lt;2020,$R$141,IF($O$124&lt;3010,$U$122:$U$123,IF($O$124=3010,$R$141,IF($O$124=3020,$U$122:$U$123,$R$141)))))</formula1>
    </dataValidation>
    <dataValidation type="decimal" allowBlank="1" showInputMessage="1" showErrorMessage="1" error="Należy wprowadzić prawidłową wartość." sqref="E23:F23" xr:uid="{60980FAC-BBDB-45B4-9861-55C8D7BB2102}">
      <formula1>0</formula1>
      <formula2>1.8</formula2>
    </dataValidation>
    <dataValidation type="list" allowBlank="1" showInputMessage="1" showErrorMessage="1" sqref="C11:D11" xr:uid="{9389842F-B64D-46D6-8142-0842244FE4B7}">
      <formula1>$R$105:$R$111</formula1>
    </dataValidation>
  </dataValidations>
  <pageMargins left="0.7" right="0.7" top="0.75" bottom="0.75" header="0.3" footer="0.3"/>
  <pageSetup paperSize="9" scale="89" orientation="portrait" r:id="rId1"/>
  <headerFooter>
    <oddFooter>&amp;C&amp;"-,Standardowy"Strona &amp;P z &amp;N&amp;R&amp;"-,Standardowy"&amp;8v2022-1</oddFooter>
  </headerFooter>
  <rowBreaks count="1" manualBreakCount="1">
    <brk id="6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G320"/>
  <sheetViews>
    <sheetView view="pageBreakPreview" zoomScaleNormal="100" zoomScaleSheetLayoutView="100" workbookViewId="0">
      <selection sqref="A1:H1"/>
    </sheetView>
  </sheetViews>
  <sheetFormatPr defaultRowHeight="14.25"/>
  <cols>
    <col min="1" max="1" width="3.5" style="1" customWidth="1"/>
    <col min="2" max="2" width="16.625" style="1" customWidth="1"/>
    <col min="3" max="4" width="6.625" style="1" customWidth="1"/>
    <col min="5" max="8" width="11.625" style="1" customWidth="1"/>
    <col min="9" max="16384" width="9" style="1"/>
  </cols>
  <sheetData>
    <row r="1" spans="1:59" ht="14.25" customHeight="1">
      <c r="A1" s="374" t="s">
        <v>261</v>
      </c>
      <c r="B1" s="374"/>
      <c r="C1" s="374"/>
      <c r="D1" s="374"/>
      <c r="E1" s="374"/>
      <c r="F1" s="374"/>
      <c r="G1" s="374"/>
      <c r="H1" s="374"/>
      <c r="O1" s="17"/>
      <c r="P1" s="148"/>
      <c r="Q1" s="148"/>
      <c r="R1" s="148"/>
      <c r="S1" s="148"/>
      <c r="T1" s="148"/>
      <c r="U1" s="148"/>
      <c r="V1" s="148"/>
      <c r="W1" s="148"/>
      <c r="X1" s="148"/>
      <c r="Y1" s="182"/>
      <c r="Z1" s="182"/>
      <c r="AA1" s="182"/>
      <c r="AB1" s="182"/>
      <c r="AC1" s="131"/>
      <c r="AD1" s="131"/>
      <c r="AE1" s="131"/>
      <c r="AF1" s="131"/>
      <c r="AG1" s="131"/>
      <c r="AH1" s="131"/>
      <c r="AI1" s="131"/>
      <c r="AJ1" s="131"/>
      <c r="AK1" s="369"/>
      <c r="AL1" s="369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3"/>
      <c r="BC1" s="133"/>
      <c r="BD1" s="133"/>
      <c r="BE1" s="133"/>
      <c r="BF1" s="133"/>
      <c r="BG1" s="133"/>
    </row>
    <row r="2" spans="1:59" ht="18">
      <c r="A2" s="375" t="s">
        <v>216</v>
      </c>
      <c r="B2" s="375"/>
      <c r="C2" s="375"/>
      <c r="D2" s="375"/>
      <c r="E2" s="375"/>
      <c r="F2" s="375"/>
      <c r="G2" s="375"/>
      <c r="H2" s="375"/>
      <c r="O2" s="17"/>
      <c r="P2" s="148"/>
      <c r="Q2" s="148"/>
      <c r="R2" s="148"/>
      <c r="S2" s="148"/>
      <c r="T2" s="148"/>
      <c r="U2" s="148"/>
      <c r="V2" s="148"/>
      <c r="W2" s="148"/>
      <c r="X2" s="148"/>
      <c r="Y2" s="182"/>
      <c r="Z2" s="182"/>
      <c r="AA2" s="182"/>
      <c r="AB2" s="182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3"/>
      <c r="BC2" s="133"/>
      <c r="BD2" s="133"/>
      <c r="BE2" s="133"/>
      <c r="BF2" s="133"/>
      <c r="BG2" s="133"/>
    </row>
    <row r="3" spans="1:59" ht="15">
      <c r="A3" s="375" t="s">
        <v>262</v>
      </c>
      <c r="B3" s="375"/>
      <c r="C3" s="375"/>
      <c r="D3" s="375"/>
      <c r="E3" s="375"/>
      <c r="F3" s="375"/>
      <c r="G3" s="375"/>
      <c r="H3" s="375"/>
      <c r="O3" s="17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3"/>
      <c r="BC3" s="133"/>
      <c r="BD3" s="133"/>
      <c r="BE3" s="133"/>
      <c r="BF3" s="133"/>
      <c r="BG3" s="133"/>
    </row>
    <row r="4" spans="1:59" ht="11.25" customHeight="1">
      <c r="A4" s="408" t="s">
        <v>263</v>
      </c>
      <c r="B4" s="408"/>
      <c r="C4" s="408"/>
      <c r="D4" s="408"/>
      <c r="E4" s="408"/>
      <c r="F4" s="408"/>
      <c r="G4" s="408"/>
      <c r="H4" s="408"/>
      <c r="O4" s="17"/>
      <c r="P4" s="139"/>
      <c r="Q4" s="139"/>
      <c r="R4" s="139"/>
      <c r="S4" s="139"/>
      <c r="T4" s="139"/>
      <c r="U4" s="139"/>
      <c r="V4" s="131"/>
      <c r="W4" s="139"/>
      <c r="X4" s="139"/>
      <c r="Y4" s="139"/>
      <c r="Z4" s="139"/>
      <c r="AA4" s="139"/>
      <c r="AB4" s="139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3"/>
      <c r="BC4" s="133"/>
      <c r="BD4" s="133"/>
      <c r="BE4" s="133"/>
      <c r="BF4" s="133"/>
      <c r="BG4" s="133"/>
    </row>
    <row r="5" spans="1:59" ht="41.25" customHeight="1">
      <c r="A5" s="376"/>
      <c r="B5" s="376"/>
      <c r="C5" s="376"/>
      <c r="D5" s="376"/>
      <c r="E5" s="376"/>
      <c r="F5" s="376"/>
      <c r="G5" s="376"/>
      <c r="H5" s="376"/>
      <c r="O5" s="17"/>
      <c r="P5" s="132"/>
      <c r="Q5" s="132"/>
      <c r="R5" s="132"/>
      <c r="S5" s="132"/>
      <c r="T5" s="132"/>
      <c r="U5" s="132"/>
      <c r="V5" s="131"/>
      <c r="W5" s="132"/>
      <c r="X5" s="132"/>
      <c r="Y5" s="132"/>
      <c r="Z5" s="132"/>
      <c r="AA5" s="132"/>
      <c r="AB5" s="132"/>
      <c r="AC5" s="131"/>
      <c r="AD5" s="131"/>
      <c r="AE5" s="131"/>
      <c r="AF5" s="131"/>
      <c r="AG5" s="131"/>
      <c r="AH5" s="131"/>
      <c r="AI5" s="131"/>
      <c r="AJ5" s="131"/>
      <c r="AK5" s="183"/>
      <c r="AL5" s="184"/>
      <c r="AM5" s="131"/>
      <c r="AN5" s="185"/>
      <c r="AO5" s="131"/>
      <c r="AP5" s="185"/>
      <c r="AQ5" s="131"/>
      <c r="AR5" s="183"/>
      <c r="AS5" s="131"/>
      <c r="AT5" s="131"/>
      <c r="AU5" s="131"/>
      <c r="AV5" s="131"/>
      <c r="AW5" s="183"/>
      <c r="AX5" s="186"/>
      <c r="AY5" s="186"/>
      <c r="AZ5" s="186"/>
      <c r="BA5" s="131"/>
      <c r="BB5" s="133"/>
      <c r="BC5" s="133"/>
      <c r="BD5" s="133"/>
      <c r="BE5" s="133"/>
      <c r="BF5" s="133"/>
      <c r="BG5" s="133"/>
    </row>
    <row r="6" spans="1:59" ht="12" customHeight="1">
      <c r="A6" s="377" t="s">
        <v>185</v>
      </c>
      <c r="B6" s="377"/>
      <c r="C6" s="377"/>
      <c r="D6" s="377"/>
      <c r="E6" s="377"/>
      <c r="F6" s="377"/>
      <c r="G6" s="377"/>
      <c r="H6" s="377"/>
      <c r="O6" s="17"/>
      <c r="P6" s="240"/>
      <c r="Q6" s="240"/>
      <c r="R6" s="240"/>
      <c r="S6" s="240"/>
      <c r="T6" s="240"/>
      <c r="U6" s="240"/>
      <c r="V6" s="131"/>
      <c r="W6" s="240"/>
      <c r="X6" s="240"/>
      <c r="Y6" s="240"/>
      <c r="Z6" s="240"/>
      <c r="AA6" s="240"/>
      <c r="AB6" s="240"/>
      <c r="AC6" s="131"/>
      <c r="AD6" s="131"/>
      <c r="AE6" s="131"/>
      <c r="AF6" s="131"/>
      <c r="AG6" s="131"/>
      <c r="AH6" s="131"/>
      <c r="AI6" s="131"/>
      <c r="AJ6" s="131"/>
      <c r="AK6" s="183"/>
      <c r="AL6" s="184"/>
      <c r="AM6" s="131"/>
      <c r="AN6" s="185"/>
      <c r="AO6" s="131"/>
      <c r="AP6" s="185"/>
      <c r="AQ6" s="131"/>
      <c r="AR6" s="183"/>
      <c r="AS6" s="131"/>
      <c r="AT6" s="131"/>
      <c r="AU6" s="131"/>
      <c r="AV6" s="131"/>
      <c r="AW6" s="183"/>
      <c r="AX6" s="186"/>
      <c r="AY6" s="186"/>
      <c r="AZ6" s="186"/>
      <c r="BA6" s="131"/>
      <c r="BB6" s="133"/>
      <c r="BC6" s="133"/>
      <c r="BD6" s="133"/>
      <c r="BE6" s="133"/>
      <c r="BF6" s="133"/>
      <c r="BG6" s="133"/>
    </row>
    <row r="7" spans="1:59" ht="5.25" customHeight="1">
      <c r="A7" s="178"/>
      <c r="B7" s="178"/>
      <c r="C7" s="178"/>
      <c r="D7" s="178"/>
      <c r="E7" s="178"/>
      <c r="F7" s="178"/>
      <c r="G7" s="178"/>
      <c r="H7" s="178"/>
      <c r="O7" s="17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83"/>
      <c r="AL7" s="184"/>
      <c r="AM7" s="131"/>
      <c r="AN7" s="185"/>
      <c r="AO7" s="131"/>
      <c r="AP7" s="185"/>
      <c r="AQ7" s="131"/>
      <c r="AR7" s="183"/>
      <c r="AS7" s="131"/>
      <c r="AT7" s="131"/>
      <c r="AU7" s="131"/>
      <c r="AV7" s="131"/>
      <c r="AW7" s="183"/>
      <c r="AX7" s="186"/>
      <c r="AY7" s="186"/>
      <c r="AZ7" s="186"/>
      <c r="BA7" s="131"/>
      <c r="BB7" s="133"/>
      <c r="BC7" s="133"/>
      <c r="BD7" s="133"/>
      <c r="BE7" s="133"/>
      <c r="BF7" s="133"/>
      <c r="BG7" s="133"/>
    </row>
    <row r="8" spans="1:59" ht="15">
      <c r="A8" s="158" t="s">
        <v>264</v>
      </c>
      <c r="B8" s="231"/>
      <c r="C8" s="286"/>
      <c r="D8" s="286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165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83"/>
      <c r="AL8" s="184"/>
      <c r="AM8" s="131"/>
      <c r="AN8" s="185"/>
      <c r="AO8" s="131"/>
      <c r="AP8" s="185"/>
      <c r="AQ8" s="131"/>
      <c r="AR8" s="183"/>
      <c r="AS8" s="131"/>
      <c r="AT8" s="131"/>
      <c r="AU8" s="131"/>
      <c r="AV8" s="131"/>
      <c r="AW8" s="183"/>
      <c r="AX8" s="186"/>
      <c r="AY8" s="186"/>
      <c r="AZ8" s="186"/>
      <c r="BA8" s="131"/>
      <c r="BB8" s="133"/>
      <c r="BC8" s="133"/>
      <c r="BD8" s="133"/>
      <c r="BE8" s="133"/>
      <c r="BF8" s="133"/>
      <c r="BG8" s="133"/>
    </row>
    <row r="9" spans="1:59" ht="3" customHeight="1">
      <c r="A9" s="231"/>
      <c r="B9" s="231"/>
      <c r="C9" s="286"/>
      <c r="D9" s="286"/>
      <c r="E9" s="231"/>
      <c r="F9" s="231"/>
      <c r="G9" s="231"/>
      <c r="H9" s="231"/>
      <c r="I9" s="231"/>
      <c r="J9" s="231"/>
      <c r="K9" s="2"/>
      <c r="L9" s="2"/>
      <c r="M9" s="167"/>
      <c r="N9" s="167"/>
      <c r="O9" s="2"/>
      <c r="P9" s="168"/>
      <c r="Q9" s="168"/>
      <c r="R9" s="2"/>
      <c r="S9" s="167"/>
      <c r="T9" s="167"/>
      <c r="U9" s="167"/>
      <c r="V9" s="167"/>
      <c r="W9" s="167"/>
      <c r="X9" s="167"/>
      <c r="Y9" s="167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83"/>
      <c r="AL9" s="184"/>
      <c r="AM9" s="131"/>
      <c r="AN9" s="185"/>
      <c r="AO9" s="131"/>
      <c r="AP9" s="185"/>
      <c r="AQ9" s="131"/>
      <c r="AR9" s="183"/>
      <c r="AS9" s="131"/>
      <c r="AT9" s="131"/>
      <c r="AU9" s="131"/>
      <c r="AV9" s="131"/>
      <c r="AW9" s="183"/>
      <c r="AX9" s="186"/>
      <c r="AY9" s="186"/>
      <c r="AZ9" s="186"/>
      <c r="BA9" s="131"/>
      <c r="BB9" s="133"/>
      <c r="BC9" s="133"/>
      <c r="BD9" s="133"/>
      <c r="BE9" s="133"/>
      <c r="BF9" s="133"/>
      <c r="BG9" s="133"/>
    </row>
    <row r="10" spans="1:59" ht="23.25" customHeight="1">
      <c r="A10" s="409" t="s">
        <v>265</v>
      </c>
      <c r="B10" s="447" t="s">
        <v>363</v>
      </c>
      <c r="C10" s="448"/>
      <c r="D10" s="449"/>
      <c r="E10" s="411" t="s">
        <v>266</v>
      </c>
      <c r="F10" s="411"/>
      <c r="G10" s="411" t="s">
        <v>362</v>
      </c>
      <c r="H10" s="411"/>
      <c r="K10" s="163"/>
      <c r="L10" s="167"/>
      <c r="M10" s="167"/>
      <c r="N10" s="167"/>
      <c r="O10" s="168"/>
      <c r="P10" s="168"/>
      <c r="Q10" s="168"/>
      <c r="R10" s="2"/>
      <c r="S10" s="189"/>
      <c r="T10" s="189"/>
      <c r="U10" s="189"/>
      <c r="V10" s="2"/>
      <c r="W10" s="2"/>
      <c r="X10" s="2"/>
      <c r="Y10" s="2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83"/>
      <c r="AL10" s="184"/>
      <c r="AM10" s="131"/>
      <c r="AN10" s="185"/>
      <c r="AO10" s="131"/>
      <c r="AP10" s="185"/>
      <c r="AQ10" s="131"/>
      <c r="AR10" s="183"/>
      <c r="AS10" s="131"/>
      <c r="AT10" s="131"/>
      <c r="AU10" s="131"/>
      <c r="AV10" s="131"/>
      <c r="AW10" s="183"/>
      <c r="AX10" s="186"/>
      <c r="AY10" s="186"/>
      <c r="AZ10" s="186"/>
      <c r="BA10" s="131"/>
      <c r="BB10" s="133"/>
      <c r="BC10" s="133"/>
      <c r="BD10" s="133"/>
      <c r="BE10" s="133"/>
      <c r="BF10" s="133"/>
      <c r="BG10" s="133"/>
    </row>
    <row r="11" spans="1:59" ht="15">
      <c r="A11" s="410"/>
      <c r="B11" s="450"/>
      <c r="C11" s="451"/>
      <c r="D11" s="452"/>
      <c r="E11" s="279" t="s">
        <v>386</v>
      </c>
      <c r="F11" s="279" t="s">
        <v>385</v>
      </c>
      <c r="G11" s="159" t="s">
        <v>136</v>
      </c>
      <c r="H11" s="160" t="s">
        <v>137</v>
      </c>
      <c r="I11" s="171"/>
      <c r="K11" s="2"/>
      <c r="L11" s="2"/>
      <c r="M11" s="172"/>
      <c r="N11" s="172"/>
      <c r="O11" s="2"/>
      <c r="P11" s="167"/>
      <c r="Q11" s="2"/>
      <c r="R11" s="2"/>
      <c r="S11" s="167"/>
      <c r="T11" s="167"/>
      <c r="U11" s="167"/>
      <c r="V11" s="2"/>
      <c r="W11" s="2"/>
      <c r="X11" s="2"/>
      <c r="Y11" s="2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83"/>
      <c r="AL11" s="184"/>
      <c r="AM11" s="131"/>
      <c r="AN11" s="185"/>
      <c r="AO11" s="131"/>
      <c r="AP11" s="185"/>
      <c r="AQ11" s="131"/>
      <c r="AR11" s="183"/>
      <c r="AS11" s="131"/>
      <c r="AT11" s="131"/>
      <c r="AU11" s="131"/>
      <c r="AV11" s="131"/>
      <c r="AW11" s="183"/>
      <c r="AX11" s="186"/>
      <c r="AY11" s="186"/>
      <c r="AZ11" s="186"/>
      <c r="BA11" s="131"/>
      <c r="BB11" s="133"/>
      <c r="BC11" s="133"/>
      <c r="BD11" s="133"/>
      <c r="BE11" s="133"/>
      <c r="BF11" s="133"/>
      <c r="BG11" s="133"/>
    </row>
    <row r="12" spans="1:59" ht="15" customHeight="1">
      <c r="A12" s="292">
        <v>1</v>
      </c>
      <c r="B12" s="287" t="s">
        <v>359</v>
      </c>
      <c r="C12" s="294"/>
      <c r="D12" s="288"/>
      <c r="E12" s="204"/>
      <c r="F12" s="223" t="s">
        <v>379</v>
      </c>
      <c r="G12" s="199"/>
      <c r="H12" s="200"/>
      <c r="I12" s="168"/>
      <c r="K12" s="2"/>
      <c r="L12" s="2"/>
      <c r="M12" s="172"/>
      <c r="N12" s="172"/>
      <c r="O12" s="2"/>
      <c r="P12" s="167"/>
      <c r="Q12" s="2"/>
      <c r="R12" s="2"/>
      <c r="S12" s="167"/>
      <c r="T12" s="167"/>
      <c r="U12" s="167"/>
      <c r="V12" s="2"/>
      <c r="W12" s="2"/>
      <c r="X12" s="2"/>
      <c r="Y12" s="2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83"/>
      <c r="AL12" s="184"/>
      <c r="AM12" s="131"/>
      <c r="AN12" s="185"/>
      <c r="AO12" s="131"/>
      <c r="AP12" s="185"/>
      <c r="AQ12" s="131"/>
      <c r="AR12" s="183"/>
      <c r="AS12" s="131"/>
      <c r="AT12" s="131"/>
      <c r="AU12" s="131"/>
      <c r="AV12" s="131"/>
      <c r="AW12" s="183"/>
      <c r="AX12" s="186"/>
      <c r="AY12" s="186"/>
      <c r="AZ12" s="186"/>
      <c r="BA12" s="131"/>
      <c r="BB12" s="133"/>
      <c r="BC12" s="133"/>
      <c r="BD12" s="133"/>
      <c r="BE12" s="133"/>
      <c r="BF12" s="133"/>
      <c r="BG12" s="133"/>
    </row>
    <row r="13" spans="1:59" ht="15" customHeight="1">
      <c r="A13" s="286"/>
      <c r="B13" s="295"/>
      <c r="C13" s="167"/>
      <c r="D13" s="296"/>
      <c r="E13" s="204"/>
      <c r="F13" s="223" t="s">
        <v>379</v>
      </c>
      <c r="G13" s="199"/>
      <c r="H13" s="200"/>
      <c r="I13" s="168"/>
      <c r="K13" s="2"/>
      <c r="L13" s="2"/>
      <c r="M13" s="172"/>
      <c r="N13" s="172"/>
      <c r="O13" s="2"/>
      <c r="P13" s="167"/>
      <c r="Q13" s="2"/>
      <c r="R13" s="2"/>
      <c r="S13" s="167"/>
      <c r="T13" s="167"/>
      <c r="U13" s="167"/>
      <c r="V13" s="2"/>
      <c r="W13" s="2"/>
      <c r="X13" s="2"/>
      <c r="Y13" s="2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83"/>
      <c r="AL13" s="184"/>
      <c r="AM13" s="131"/>
      <c r="AN13" s="185"/>
      <c r="AO13" s="131"/>
      <c r="AP13" s="185"/>
      <c r="AQ13" s="131"/>
      <c r="AR13" s="183"/>
      <c r="AS13" s="131"/>
      <c r="AT13" s="131"/>
      <c r="AU13" s="131"/>
      <c r="AV13" s="131"/>
      <c r="AW13" s="183"/>
      <c r="AX13" s="186"/>
      <c r="AY13" s="186"/>
      <c r="AZ13" s="186"/>
      <c r="BA13" s="131"/>
      <c r="BB13" s="133"/>
      <c r="BC13" s="133"/>
      <c r="BD13" s="133"/>
      <c r="BE13" s="133"/>
      <c r="BF13" s="133"/>
      <c r="BG13" s="133"/>
    </row>
    <row r="14" spans="1:59" ht="15" customHeight="1">
      <c r="A14" s="286"/>
      <c r="B14" s="295"/>
      <c r="C14" s="167"/>
      <c r="D14" s="296"/>
      <c r="E14" s="204"/>
      <c r="F14" s="223" t="s">
        <v>379</v>
      </c>
      <c r="G14" s="199"/>
      <c r="H14" s="200"/>
      <c r="I14" s="168"/>
      <c r="K14" s="2"/>
      <c r="L14" s="2"/>
      <c r="M14" s="172"/>
      <c r="N14" s="172"/>
      <c r="O14" s="2"/>
      <c r="P14" s="167"/>
      <c r="Q14" s="2"/>
      <c r="R14" s="2"/>
      <c r="S14" s="167"/>
      <c r="T14" s="167"/>
      <c r="U14" s="167"/>
      <c r="V14" s="2"/>
      <c r="W14" s="2"/>
      <c r="X14" s="2"/>
      <c r="Y14" s="2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83"/>
      <c r="AL14" s="184"/>
      <c r="AM14" s="131"/>
      <c r="AN14" s="185"/>
      <c r="AO14" s="131"/>
      <c r="AP14" s="185"/>
      <c r="AQ14" s="131"/>
      <c r="AR14" s="183"/>
      <c r="AS14" s="131"/>
      <c r="AT14" s="131"/>
      <c r="AU14" s="131"/>
      <c r="AV14" s="131"/>
      <c r="AW14" s="183"/>
      <c r="AX14" s="186"/>
      <c r="AY14" s="186"/>
      <c r="AZ14" s="186"/>
      <c r="BA14" s="131"/>
      <c r="BB14" s="133"/>
      <c r="BC14" s="133"/>
      <c r="BD14" s="133"/>
      <c r="BE14" s="133"/>
      <c r="BF14" s="133"/>
      <c r="BG14" s="133"/>
    </row>
    <row r="15" spans="1:59" ht="15" customHeight="1">
      <c r="A15" s="286"/>
      <c r="B15" s="295"/>
      <c r="C15" s="167"/>
      <c r="D15" s="296"/>
      <c r="E15" s="204"/>
      <c r="F15" s="223" t="s">
        <v>379</v>
      </c>
      <c r="G15" s="199"/>
      <c r="H15" s="200"/>
      <c r="I15" s="168"/>
      <c r="K15" s="2"/>
      <c r="L15" s="2"/>
      <c r="M15" s="172"/>
      <c r="N15" s="172"/>
      <c r="O15" s="2"/>
      <c r="P15" s="167"/>
      <c r="Q15" s="2"/>
      <c r="R15" s="2"/>
      <c r="S15" s="167"/>
      <c r="T15" s="167"/>
      <c r="U15" s="167"/>
      <c r="V15" s="2"/>
      <c r="W15" s="2"/>
      <c r="X15" s="2"/>
      <c r="Y15" s="2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83"/>
      <c r="AL15" s="184"/>
      <c r="AM15" s="131"/>
      <c r="AN15" s="185"/>
      <c r="AO15" s="131"/>
      <c r="AP15" s="185"/>
      <c r="AQ15" s="131"/>
      <c r="AR15" s="183"/>
      <c r="AS15" s="131"/>
      <c r="AT15" s="131"/>
      <c r="AU15" s="131"/>
      <c r="AV15" s="131"/>
      <c r="AW15" s="183"/>
      <c r="AX15" s="186"/>
      <c r="AY15" s="186"/>
      <c r="AZ15" s="186"/>
      <c r="BA15" s="131"/>
      <c r="BB15" s="133"/>
      <c r="BC15" s="133"/>
      <c r="BD15" s="133"/>
      <c r="BE15" s="133"/>
      <c r="BF15" s="133"/>
      <c r="BG15" s="133"/>
    </row>
    <row r="16" spans="1:59" ht="15" customHeight="1">
      <c r="A16" s="293"/>
      <c r="B16" s="289" t="s">
        <v>381</v>
      </c>
      <c r="C16" s="291"/>
      <c r="D16" s="297">
        <f>SUM(E12:E16)</f>
        <v>0</v>
      </c>
      <c r="E16" s="204"/>
      <c r="F16" s="223" t="s">
        <v>379</v>
      </c>
      <c r="G16" s="199"/>
      <c r="H16" s="200"/>
      <c r="I16" s="168"/>
      <c r="K16" s="2"/>
      <c r="L16" s="2"/>
      <c r="M16" s="172"/>
      <c r="N16" s="172"/>
      <c r="O16" s="2"/>
      <c r="P16" s="167"/>
      <c r="Q16" s="2"/>
      <c r="R16" s="2"/>
      <c r="S16" s="167"/>
      <c r="T16" s="167"/>
      <c r="U16" s="167"/>
      <c r="V16" s="2"/>
      <c r="W16" s="2"/>
      <c r="X16" s="2"/>
      <c r="Y16" s="2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83"/>
      <c r="AL16" s="184"/>
      <c r="AM16" s="131"/>
      <c r="AN16" s="185"/>
      <c r="AO16" s="131"/>
      <c r="AP16" s="185"/>
      <c r="AQ16" s="131"/>
      <c r="AR16" s="183"/>
      <c r="AS16" s="131"/>
      <c r="AT16" s="131"/>
      <c r="AU16" s="131"/>
      <c r="AV16" s="131"/>
      <c r="AW16" s="183"/>
      <c r="AX16" s="186"/>
      <c r="AY16" s="186"/>
      <c r="AZ16" s="186"/>
      <c r="BA16" s="131"/>
      <c r="BB16" s="133"/>
      <c r="BC16" s="133"/>
      <c r="BD16" s="133"/>
      <c r="BE16" s="133"/>
      <c r="BF16" s="133"/>
      <c r="BG16" s="133"/>
    </row>
    <row r="17" spans="1:59" ht="15" customHeight="1">
      <c r="A17" s="286">
        <v>2</v>
      </c>
      <c r="B17" s="287" t="s">
        <v>360</v>
      </c>
      <c r="C17" s="294"/>
      <c r="D17" s="296"/>
      <c r="E17" s="205"/>
      <c r="F17" s="229" t="s">
        <v>379</v>
      </c>
      <c r="G17" s="199"/>
      <c r="H17" s="200"/>
      <c r="I17" s="168"/>
      <c r="K17" s="2"/>
      <c r="L17" s="2"/>
      <c r="M17" s="172"/>
      <c r="N17" s="172"/>
      <c r="O17" s="2"/>
      <c r="P17" s="167"/>
      <c r="Q17" s="2"/>
      <c r="R17" s="2"/>
      <c r="S17" s="167"/>
      <c r="T17" s="167"/>
      <c r="U17" s="167"/>
      <c r="V17" s="2"/>
      <c r="W17" s="2"/>
      <c r="X17" s="2"/>
      <c r="Y17" s="2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83"/>
      <c r="AL17" s="184"/>
      <c r="AM17" s="131"/>
      <c r="AN17" s="185"/>
      <c r="AO17" s="131"/>
      <c r="AP17" s="185"/>
      <c r="AQ17" s="131"/>
      <c r="AR17" s="183"/>
      <c r="AS17" s="131"/>
      <c r="AT17" s="131"/>
      <c r="AU17" s="131"/>
      <c r="AV17" s="131"/>
      <c r="AW17" s="183"/>
      <c r="AX17" s="186"/>
      <c r="AY17" s="186"/>
      <c r="AZ17" s="186"/>
      <c r="BA17" s="131"/>
      <c r="BB17" s="133"/>
      <c r="BC17" s="133"/>
      <c r="BD17" s="133"/>
      <c r="BE17" s="133"/>
      <c r="BF17" s="133"/>
      <c r="BG17" s="133"/>
    </row>
    <row r="18" spans="1:59" ht="15" customHeight="1">
      <c r="A18" s="286"/>
      <c r="B18" s="295"/>
      <c r="C18" s="167"/>
      <c r="D18" s="296"/>
      <c r="E18" s="205"/>
      <c r="F18" s="229" t="s">
        <v>379</v>
      </c>
      <c r="G18" s="199"/>
      <c r="H18" s="200"/>
      <c r="I18" s="168"/>
      <c r="K18" s="2"/>
      <c r="L18" s="2"/>
      <c r="M18" s="172"/>
      <c r="N18" s="172"/>
      <c r="O18" s="2"/>
      <c r="P18" s="167"/>
      <c r="Q18" s="2"/>
      <c r="R18" s="2"/>
      <c r="S18" s="167"/>
      <c r="T18" s="167"/>
      <c r="U18" s="167"/>
      <c r="V18" s="2"/>
      <c r="W18" s="2"/>
      <c r="X18" s="2"/>
      <c r="Y18" s="2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83"/>
      <c r="AL18" s="184"/>
      <c r="AM18" s="131"/>
      <c r="AN18" s="185"/>
      <c r="AO18" s="131"/>
      <c r="AP18" s="185"/>
      <c r="AQ18" s="131"/>
      <c r="AR18" s="183"/>
      <c r="AS18" s="131"/>
      <c r="AT18" s="131"/>
      <c r="AU18" s="131"/>
      <c r="AV18" s="131"/>
      <c r="AW18" s="183"/>
      <c r="AX18" s="186"/>
      <c r="AY18" s="186"/>
      <c r="AZ18" s="186"/>
      <c r="BA18" s="131"/>
      <c r="BB18" s="133"/>
      <c r="BC18" s="133"/>
      <c r="BD18" s="133"/>
      <c r="BE18" s="133"/>
      <c r="BF18" s="133"/>
      <c r="BG18" s="133"/>
    </row>
    <row r="19" spans="1:59" ht="15" customHeight="1">
      <c r="A19" s="293"/>
      <c r="B19" s="289" t="s">
        <v>381</v>
      </c>
      <c r="C19" s="291"/>
      <c r="D19" s="297">
        <f>SUM(E17:E19)</f>
        <v>0</v>
      </c>
      <c r="E19" s="205"/>
      <c r="F19" s="229" t="s">
        <v>379</v>
      </c>
      <c r="G19" s="199"/>
      <c r="H19" s="200"/>
      <c r="I19" s="168"/>
      <c r="K19" s="2"/>
      <c r="L19" s="2"/>
      <c r="M19" s="172"/>
      <c r="N19" s="172"/>
      <c r="O19" s="2"/>
      <c r="P19" s="167"/>
      <c r="Q19" s="2"/>
      <c r="R19" s="2"/>
      <c r="S19" s="167"/>
      <c r="T19" s="167"/>
      <c r="U19" s="167"/>
      <c r="V19" s="2"/>
      <c r="W19" s="2"/>
      <c r="X19" s="2"/>
      <c r="Y19" s="2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83"/>
      <c r="AL19" s="184"/>
      <c r="AM19" s="131"/>
      <c r="AN19" s="185"/>
      <c r="AO19" s="131"/>
      <c r="AP19" s="185"/>
      <c r="AQ19" s="131"/>
      <c r="AR19" s="183"/>
      <c r="AS19" s="131"/>
      <c r="AT19" s="131"/>
      <c r="AU19" s="131"/>
      <c r="AV19" s="131"/>
      <c r="AW19" s="183"/>
      <c r="AX19" s="186"/>
      <c r="AY19" s="186"/>
      <c r="AZ19" s="186"/>
      <c r="BA19" s="131"/>
      <c r="BB19" s="133"/>
      <c r="BC19" s="133"/>
      <c r="BD19" s="133"/>
      <c r="BE19" s="133"/>
      <c r="BF19" s="133"/>
      <c r="BG19" s="133"/>
    </row>
    <row r="20" spans="1:59" ht="15" customHeight="1">
      <c r="A20" s="286">
        <v>3</v>
      </c>
      <c r="B20" s="287" t="s">
        <v>361</v>
      </c>
      <c r="C20" s="294"/>
      <c r="D20" s="288"/>
      <c r="E20" s="299"/>
      <c r="F20" s="203"/>
      <c r="G20" s="199"/>
      <c r="H20" s="200"/>
      <c r="I20" s="168"/>
      <c r="K20" s="2"/>
      <c r="L20" s="2"/>
      <c r="M20" s="172"/>
      <c r="N20" s="172"/>
      <c r="O20" s="2"/>
      <c r="P20" s="167"/>
      <c r="Q20" s="2"/>
      <c r="R20" s="2"/>
      <c r="S20" s="167"/>
      <c r="T20" s="167"/>
      <c r="U20" s="167"/>
      <c r="V20" s="2"/>
      <c r="W20" s="2"/>
      <c r="X20" s="2"/>
      <c r="Y20" s="2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83"/>
      <c r="AL20" s="184"/>
      <c r="AM20" s="131"/>
      <c r="AN20" s="185"/>
      <c r="AO20" s="131"/>
      <c r="AP20" s="185"/>
      <c r="AQ20" s="131"/>
      <c r="AR20" s="183"/>
      <c r="AS20" s="131"/>
      <c r="AT20" s="131"/>
      <c r="AU20" s="131"/>
      <c r="AV20" s="131"/>
      <c r="AW20" s="183"/>
      <c r="AX20" s="186"/>
      <c r="AY20" s="186"/>
      <c r="AZ20" s="186"/>
      <c r="BA20" s="131"/>
      <c r="BB20" s="133"/>
      <c r="BC20" s="133"/>
      <c r="BD20" s="133"/>
      <c r="BE20" s="133"/>
      <c r="BF20" s="133"/>
      <c r="BG20" s="133"/>
    </row>
    <row r="21" spans="1:59" ht="15" customHeight="1">
      <c r="A21" s="293"/>
      <c r="B21" s="298" t="s">
        <v>384</v>
      </c>
      <c r="C21" s="291">
        <f>SUM(E20:E21)</f>
        <v>0</v>
      </c>
      <c r="D21" s="297">
        <f>SUM(F20:F21)</f>
        <v>0</v>
      </c>
      <c r="E21" s="299"/>
      <c r="F21" s="203"/>
      <c r="G21" s="199"/>
      <c r="H21" s="200"/>
      <c r="I21" s="168"/>
      <c r="K21" s="2"/>
      <c r="L21" s="2"/>
      <c r="M21" s="172"/>
      <c r="N21" s="172"/>
      <c r="O21" s="2"/>
      <c r="P21" s="167"/>
      <c r="Q21" s="2"/>
      <c r="R21" s="2"/>
      <c r="S21" s="167"/>
      <c r="T21" s="167"/>
      <c r="U21" s="167"/>
      <c r="V21" s="2"/>
      <c r="W21" s="2"/>
      <c r="X21" s="2"/>
      <c r="Y21" s="2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83"/>
      <c r="AL21" s="184"/>
      <c r="AM21" s="131"/>
      <c r="AN21" s="185"/>
      <c r="AO21" s="131"/>
      <c r="AP21" s="185"/>
      <c r="AQ21" s="131"/>
      <c r="AR21" s="183"/>
      <c r="AS21" s="131"/>
      <c r="AT21" s="131"/>
      <c r="AU21" s="131"/>
      <c r="AV21" s="131"/>
      <c r="AW21" s="183"/>
      <c r="AX21" s="186"/>
      <c r="AY21" s="186"/>
      <c r="AZ21" s="186"/>
      <c r="BA21" s="131"/>
      <c r="BB21" s="133"/>
      <c r="BC21" s="133"/>
      <c r="BD21" s="133"/>
      <c r="BE21" s="133"/>
      <c r="BF21" s="133"/>
      <c r="BG21" s="133"/>
    </row>
    <row r="22" spans="1:59" ht="15" customHeight="1">
      <c r="A22" s="286">
        <v>4</v>
      </c>
      <c r="B22" s="287" t="s">
        <v>365</v>
      </c>
      <c r="C22" s="294"/>
      <c r="D22" s="288"/>
      <c r="E22" s="299"/>
      <c r="F22" s="203"/>
      <c r="G22" s="199"/>
      <c r="H22" s="200"/>
      <c r="I22" s="168"/>
      <c r="K22" s="2"/>
      <c r="L22" s="2"/>
      <c r="M22" s="172"/>
      <c r="N22" s="172"/>
      <c r="O22" s="2"/>
      <c r="P22" s="167"/>
      <c r="Q22" s="2"/>
      <c r="R22" s="2"/>
      <c r="S22" s="167"/>
      <c r="T22" s="167"/>
      <c r="U22" s="167"/>
      <c r="V22" s="2"/>
      <c r="W22" s="2"/>
      <c r="X22" s="2"/>
      <c r="Y22" s="2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83"/>
      <c r="AL22" s="184"/>
      <c r="AM22" s="131"/>
      <c r="AN22" s="185"/>
      <c r="AO22" s="131"/>
      <c r="AP22" s="185"/>
      <c r="AQ22" s="131"/>
      <c r="AR22" s="183"/>
      <c r="AS22" s="131"/>
      <c r="AT22" s="131"/>
      <c r="AU22" s="131"/>
      <c r="AV22" s="131"/>
      <c r="AW22" s="183"/>
      <c r="AX22" s="186"/>
      <c r="AY22" s="186"/>
      <c r="AZ22" s="186"/>
      <c r="BA22" s="131"/>
      <c r="BB22" s="133"/>
      <c r="BC22" s="133"/>
      <c r="BD22" s="133"/>
      <c r="BE22" s="133"/>
      <c r="BF22" s="133"/>
      <c r="BG22" s="133"/>
    </row>
    <row r="23" spans="1:59" ht="15" customHeight="1">
      <c r="A23" s="67"/>
      <c r="B23" s="298" t="s">
        <v>384</v>
      </c>
      <c r="C23" s="291">
        <f>SUM(E22:E23)</f>
        <v>0</v>
      </c>
      <c r="D23" s="297">
        <f>SUM(F22:F23)</f>
        <v>0</v>
      </c>
      <c r="E23" s="299"/>
      <c r="F23" s="203"/>
      <c r="G23" s="199"/>
      <c r="H23" s="200"/>
      <c r="I23" s="168"/>
      <c r="K23" s="2"/>
      <c r="L23" s="2"/>
      <c r="M23" s="163"/>
      <c r="N23" s="163"/>
      <c r="O23" s="163"/>
      <c r="P23" s="163"/>
      <c r="Q23" s="163"/>
      <c r="R23" s="2"/>
      <c r="S23" s="163"/>
      <c r="T23" s="163"/>
      <c r="U23" s="163"/>
      <c r="V23" s="2"/>
      <c r="W23" s="2"/>
      <c r="X23" s="2"/>
      <c r="Y23" s="2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83"/>
      <c r="AL23" s="184"/>
      <c r="AM23" s="131"/>
      <c r="AN23" s="185"/>
      <c r="AO23" s="131"/>
      <c r="AP23" s="185"/>
      <c r="AQ23" s="131"/>
      <c r="AR23" s="183"/>
      <c r="AS23" s="131"/>
      <c r="AT23" s="131"/>
      <c r="AU23" s="131"/>
      <c r="AV23" s="131"/>
      <c r="AW23" s="183"/>
      <c r="AX23" s="186"/>
      <c r="AY23" s="186"/>
      <c r="AZ23" s="186"/>
      <c r="BA23" s="131"/>
      <c r="BB23" s="133"/>
      <c r="BC23" s="133"/>
      <c r="BD23" s="133"/>
      <c r="BE23" s="133"/>
      <c r="BF23" s="133"/>
      <c r="BG23" s="133"/>
    </row>
    <row r="24" spans="1:59" ht="29.25" customHeight="1">
      <c r="A24" s="161">
        <v>5</v>
      </c>
      <c r="B24" s="434"/>
      <c r="C24" s="434"/>
      <c r="D24" s="434"/>
      <c r="E24" s="300"/>
      <c r="F24" s="201"/>
      <c r="G24" s="202"/>
      <c r="H24" s="200"/>
      <c r="I24" s="163"/>
      <c r="L24" s="231"/>
      <c r="M24" s="231"/>
      <c r="N24" s="231"/>
      <c r="O24" s="231"/>
      <c r="P24" s="231"/>
      <c r="R24" s="231"/>
      <c r="S24" s="231"/>
      <c r="T24" s="231"/>
      <c r="U24" s="231"/>
      <c r="V24" s="231"/>
      <c r="W24" s="231"/>
      <c r="X24" s="231"/>
      <c r="Y24" s="165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83"/>
      <c r="AL24" s="184"/>
      <c r="AM24" s="131"/>
      <c r="AN24" s="185"/>
      <c r="AO24" s="131"/>
      <c r="AP24" s="185"/>
      <c r="AQ24" s="131"/>
      <c r="AR24" s="183"/>
      <c r="AS24" s="131"/>
      <c r="AT24" s="131"/>
      <c r="AU24" s="131"/>
      <c r="AV24" s="131"/>
      <c r="AW24" s="183"/>
      <c r="AX24" s="186"/>
      <c r="AY24" s="186"/>
      <c r="AZ24" s="186"/>
      <c r="BA24" s="131"/>
      <c r="BB24" s="133"/>
      <c r="BC24" s="133"/>
      <c r="BD24" s="133"/>
      <c r="BE24" s="133"/>
      <c r="BF24" s="133"/>
      <c r="BG24" s="133"/>
    </row>
    <row r="25" spans="1:59" ht="7.5" customHeight="1">
      <c r="A25" s="174"/>
      <c r="B25" s="175"/>
      <c r="C25" s="175"/>
      <c r="D25" s="175"/>
      <c r="E25" s="175"/>
      <c r="F25" s="175"/>
      <c r="G25" s="175"/>
      <c r="H25" s="175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165"/>
      <c r="AC25" s="131"/>
      <c r="AD25" s="131"/>
      <c r="AE25" s="131"/>
      <c r="AF25" s="131"/>
      <c r="AG25" s="131"/>
      <c r="AH25" s="131"/>
      <c r="AI25" s="131"/>
      <c r="AJ25" s="131"/>
      <c r="AK25" s="183"/>
      <c r="AL25" s="184"/>
      <c r="AM25" s="131"/>
      <c r="AN25" s="185"/>
      <c r="AO25" s="131"/>
      <c r="AP25" s="185"/>
      <c r="AQ25" s="131"/>
      <c r="AR25" s="183"/>
      <c r="AS25" s="131"/>
      <c r="AT25" s="131"/>
      <c r="AU25" s="131"/>
      <c r="AV25" s="131"/>
      <c r="AW25" s="183"/>
      <c r="AX25" s="186"/>
      <c r="AY25" s="186"/>
      <c r="AZ25" s="186"/>
      <c r="BA25" s="131"/>
      <c r="BB25" s="133"/>
      <c r="BC25" s="133"/>
      <c r="BD25" s="133"/>
      <c r="BE25" s="133"/>
      <c r="BF25" s="133"/>
      <c r="BG25" s="133"/>
    </row>
    <row r="26" spans="1:59" ht="15">
      <c r="A26" s="158" t="s">
        <v>267</v>
      </c>
      <c r="B26" s="175"/>
      <c r="C26" s="175"/>
      <c r="D26" s="175"/>
      <c r="E26" s="175"/>
      <c r="F26" s="175"/>
      <c r="G26" s="175"/>
      <c r="H26" s="175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165"/>
      <c r="AC26" s="131"/>
      <c r="AD26" s="131"/>
      <c r="AE26" s="131"/>
      <c r="AF26" s="131"/>
      <c r="AG26" s="131"/>
      <c r="AH26" s="131"/>
      <c r="AI26" s="131"/>
      <c r="AJ26" s="131"/>
      <c r="AK26" s="183"/>
      <c r="AL26" s="184"/>
      <c r="AM26" s="131"/>
      <c r="AN26" s="185"/>
      <c r="AO26" s="131"/>
      <c r="AP26" s="185"/>
      <c r="AQ26" s="131"/>
      <c r="AR26" s="183"/>
      <c r="AS26" s="131"/>
      <c r="AT26" s="131"/>
      <c r="AU26" s="131"/>
      <c r="AV26" s="131"/>
      <c r="AW26" s="183"/>
      <c r="AX26" s="186"/>
      <c r="AY26" s="186"/>
      <c r="AZ26" s="186"/>
      <c r="BA26" s="131"/>
      <c r="BB26" s="133"/>
      <c r="BC26" s="133"/>
      <c r="BD26" s="133"/>
      <c r="BE26" s="133"/>
      <c r="BF26" s="133"/>
      <c r="BG26" s="133"/>
    </row>
    <row r="27" spans="1:59" ht="2.25" customHeight="1">
      <c r="A27" s="174"/>
      <c r="B27" s="175"/>
      <c r="C27" s="175"/>
      <c r="D27" s="175"/>
      <c r="E27" s="175"/>
      <c r="F27" s="175"/>
      <c r="G27" s="175"/>
      <c r="H27" s="175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165"/>
      <c r="AC27" s="131"/>
      <c r="AD27" s="131"/>
      <c r="AE27" s="131"/>
      <c r="AF27" s="131"/>
      <c r="AG27" s="131"/>
      <c r="AH27" s="131"/>
      <c r="AI27" s="131"/>
      <c r="AJ27" s="131"/>
      <c r="AK27" s="183"/>
      <c r="AL27" s="184"/>
      <c r="AM27" s="131"/>
      <c r="AN27" s="185"/>
      <c r="AO27" s="131"/>
      <c r="AP27" s="185"/>
      <c r="AQ27" s="131"/>
      <c r="AR27" s="183"/>
      <c r="AS27" s="131"/>
      <c r="AT27" s="131"/>
      <c r="AU27" s="131"/>
      <c r="AV27" s="131"/>
      <c r="AW27" s="183"/>
      <c r="AX27" s="186"/>
      <c r="AY27" s="186"/>
      <c r="AZ27" s="186"/>
      <c r="BA27" s="131"/>
      <c r="BB27" s="133"/>
      <c r="BC27" s="133"/>
      <c r="BD27" s="133"/>
      <c r="BE27" s="133"/>
      <c r="BF27" s="133"/>
      <c r="BG27" s="133"/>
    </row>
    <row r="28" spans="1:59" ht="38.25" customHeight="1">
      <c r="A28" s="232" t="s">
        <v>265</v>
      </c>
      <c r="B28" s="444" t="s">
        <v>364</v>
      </c>
      <c r="C28" s="445"/>
      <c r="D28" s="446"/>
      <c r="E28" s="414" t="s">
        <v>268</v>
      </c>
      <c r="F28" s="415"/>
      <c r="G28" s="415"/>
      <c r="H28" s="416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165"/>
      <c r="AC28" s="131"/>
      <c r="AD28" s="131"/>
      <c r="AE28" s="131"/>
      <c r="AF28" s="131"/>
      <c r="AG28" s="131"/>
      <c r="AH28" s="131"/>
      <c r="AI28" s="131"/>
      <c r="AJ28" s="131"/>
      <c r="AK28" s="183"/>
      <c r="AL28" s="184"/>
      <c r="AM28" s="131"/>
      <c r="AN28" s="185"/>
      <c r="AO28" s="131"/>
      <c r="AP28" s="185"/>
      <c r="AQ28" s="131"/>
      <c r="AR28" s="183"/>
      <c r="AS28" s="131"/>
      <c r="AT28" s="131"/>
      <c r="AU28" s="131"/>
      <c r="AV28" s="131"/>
      <c r="AW28" s="183"/>
      <c r="AX28" s="186"/>
      <c r="AY28" s="186"/>
      <c r="AZ28" s="186"/>
      <c r="BA28" s="131"/>
      <c r="BB28" s="133"/>
      <c r="BC28" s="133"/>
      <c r="BD28" s="133"/>
      <c r="BE28" s="133"/>
      <c r="BF28" s="133"/>
      <c r="BG28" s="133"/>
    </row>
    <row r="29" spans="1:59" ht="50.1" customHeight="1">
      <c r="A29" s="229">
        <v>6</v>
      </c>
      <c r="B29" s="385" t="s">
        <v>373</v>
      </c>
      <c r="C29" s="420"/>
      <c r="D29" s="386"/>
      <c r="E29" s="417"/>
      <c r="F29" s="418"/>
      <c r="G29" s="418"/>
      <c r="H29" s="419"/>
      <c r="I29" s="163"/>
      <c r="J29" s="163"/>
      <c r="K29" s="163"/>
      <c r="L29" s="163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165"/>
      <c r="AC29" s="131"/>
      <c r="AD29" s="131"/>
      <c r="AE29" s="131"/>
      <c r="AF29" s="131"/>
      <c r="AG29" s="131"/>
      <c r="AH29" s="131"/>
      <c r="AI29" s="131"/>
      <c r="AJ29" s="131"/>
      <c r="AK29" s="183"/>
      <c r="AL29" s="184"/>
      <c r="AM29" s="131"/>
      <c r="AN29" s="185"/>
      <c r="AO29" s="131"/>
      <c r="AP29" s="185"/>
      <c r="AQ29" s="131"/>
      <c r="AR29" s="183"/>
      <c r="AS29" s="131"/>
      <c r="AT29" s="131"/>
      <c r="AU29" s="131"/>
      <c r="AV29" s="131"/>
      <c r="AW29" s="183"/>
      <c r="AX29" s="186"/>
      <c r="AY29" s="186"/>
      <c r="AZ29" s="186"/>
      <c r="BA29" s="131"/>
      <c r="BB29" s="133"/>
      <c r="BC29" s="133"/>
      <c r="BD29" s="133"/>
      <c r="BE29" s="133"/>
      <c r="BF29" s="133"/>
      <c r="BG29" s="133"/>
    </row>
    <row r="30" spans="1:59" ht="50.1" customHeight="1">
      <c r="A30" s="229">
        <v>7</v>
      </c>
      <c r="B30" s="385" t="s">
        <v>374</v>
      </c>
      <c r="C30" s="420"/>
      <c r="D30" s="386"/>
      <c r="E30" s="417"/>
      <c r="F30" s="418"/>
      <c r="G30" s="418"/>
      <c r="H30" s="419"/>
      <c r="I30" s="163"/>
      <c r="J30" s="163"/>
      <c r="K30" s="163"/>
      <c r="L30" s="163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165"/>
      <c r="AC30" s="131"/>
      <c r="AD30" s="131"/>
      <c r="AE30" s="131"/>
      <c r="AF30" s="131"/>
      <c r="AG30" s="131"/>
      <c r="AH30" s="131"/>
      <c r="AI30" s="131"/>
      <c r="AJ30" s="131"/>
      <c r="AK30" s="183"/>
      <c r="AL30" s="184"/>
      <c r="AM30" s="131"/>
      <c r="AN30" s="185"/>
      <c r="AO30" s="131"/>
      <c r="AP30" s="185"/>
      <c r="AQ30" s="131"/>
      <c r="AR30" s="183"/>
      <c r="AS30" s="131"/>
      <c r="AT30" s="131"/>
      <c r="AU30" s="131"/>
      <c r="AV30" s="131"/>
      <c r="AW30" s="183"/>
      <c r="AX30" s="186"/>
      <c r="AY30" s="186"/>
      <c r="AZ30" s="186"/>
      <c r="BA30" s="131"/>
      <c r="BB30" s="133"/>
      <c r="BC30" s="133"/>
      <c r="BD30" s="133"/>
      <c r="BE30" s="133"/>
      <c r="BF30" s="133"/>
      <c r="BG30" s="133"/>
    </row>
    <row r="31" spans="1:59" ht="50.1" customHeight="1">
      <c r="A31" s="229">
        <v>8</v>
      </c>
      <c r="B31" s="385" t="s">
        <v>376</v>
      </c>
      <c r="C31" s="420"/>
      <c r="D31" s="386"/>
      <c r="E31" s="417"/>
      <c r="F31" s="418"/>
      <c r="G31" s="418"/>
      <c r="H31" s="419"/>
      <c r="I31" s="163"/>
      <c r="J31" s="163"/>
      <c r="K31" s="163"/>
      <c r="L31" s="163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165"/>
      <c r="AC31" s="131"/>
      <c r="AD31" s="131"/>
      <c r="AE31" s="131"/>
      <c r="AF31" s="131"/>
      <c r="AG31" s="131"/>
      <c r="AH31" s="131"/>
      <c r="AI31" s="131"/>
      <c r="AJ31" s="131"/>
      <c r="AK31" s="183"/>
      <c r="AL31" s="184"/>
      <c r="AM31" s="131"/>
      <c r="AN31" s="185"/>
      <c r="AO31" s="131"/>
      <c r="AP31" s="185"/>
      <c r="AQ31" s="131"/>
      <c r="AR31" s="183"/>
      <c r="AS31" s="131"/>
      <c r="AT31" s="131"/>
      <c r="AU31" s="131"/>
      <c r="AV31" s="131"/>
      <c r="AW31" s="183"/>
      <c r="AX31" s="186"/>
      <c r="AY31" s="186"/>
      <c r="AZ31" s="186"/>
      <c r="BA31" s="131"/>
      <c r="BB31" s="133"/>
      <c r="BC31" s="133"/>
      <c r="BD31" s="133"/>
      <c r="BE31" s="133"/>
      <c r="BF31" s="133"/>
      <c r="BG31" s="133"/>
    </row>
    <row r="32" spans="1:59" ht="30" customHeight="1">
      <c r="A32" s="229">
        <v>9</v>
      </c>
      <c r="B32" s="385" t="s">
        <v>355</v>
      </c>
      <c r="C32" s="420"/>
      <c r="D32" s="386"/>
      <c r="E32" s="417"/>
      <c r="F32" s="418"/>
      <c r="G32" s="418"/>
      <c r="H32" s="419"/>
      <c r="I32" s="163"/>
      <c r="J32" s="163"/>
      <c r="K32" s="163"/>
      <c r="L32" s="163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165"/>
      <c r="AC32" s="131"/>
      <c r="AD32" s="131"/>
      <c r="AE32" s="131"/>
      <c r="AF32" s="131"/>
      <c r="AG32" s="131"/>
      <c r="AH32" s="131"/>
      <c r="AI32" s="131"/>
      <c r="AJ32" s="131"/>
      <c r="AK32" s="183"/>
      <c r="AL32" s="184"/>
      <c r="AM32" s="131"/>
      <c r="AN32" s="185"/>
      <c r="AO32" s="131"/>
      <c r="AP32" s="185"/>
      <c r="AQ32" s="131"/>
      <c r="AR32" s="183"/>
      <c r="AS32" s="131"/>
      <c r="AT32" s="131"/>
      <c r="AU32" s="131"/>
      <c r="AV32" s="131"/>
      <c r="AW32" s="183"/>
      <c r="AX32" s="186"/>
      <c r="AY32" s="186"/>
      <c r="AZ32" s="186"/>
      <c r="BA32" s="131"/>
      <c r="BB32" s="133"/>
      <c r="BC32" s="133"/>
      <c r="BD32" s="133"/>
      <c r="BE32" s="133"/>
      <c r="BF32" s="133"/>
      <c r="BG32" s="133"/>
    </row>
    <row r="33" spans="1:59" ht="30" customHeight="1">
      <c r="A33" s="229">
        <v>10</v>
      </c>
      <c r="B33" s="385" t="s">
        <v>269</v>
      </c>
      <c r="C33" s="420"/>
      <c r="D33" s="386"/>
      <c r="E33" s="417"/>
      <c r="F33" s="418"/>
      <c r="G33" s="418"/>
      <c r="H33" s="419"/>
      <c r="I33" s="163"/>
      <c r="J33" s="163"/>
      <c r="K33" s="163"/>
      <c r="L33" s="163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165"/>
      <c r="AC33" s="131"/>
      <c r="AD33" s="131"/>
      <c r="AE33" s="131"/>
      <c r="AF33" s="131"/>
      <c r="AG33" s="131"/>
      <c r="AH33" s="131"/>
      <c r="AI33" s="131"/>
      <c r="AJ33" s="131"/>
      <c r="AK33" s="183"/>
      <c r="AL33" s="184"/>
      <c r="AM33" s="131"/>
      <c r="AN33" s="185"/>
      <c r="AO33" s="131"/>
      <c r="AP33" s="185"/>
      <c r="AQ33" s="131"/>
      <c r="AR33" s="183"/>
      <c r="AS33" s="131"/>
      <c r="AT33" s="131"/>
      <c r="AU33" s="131"/>
      <c r="AV33" s="131"/>
      <c r="AW33" s="183"/>
      <c r="AX33" s="186"/>
      <c r="AY33" s="186"/>
      <c r="AZ33" s="186"/>
      <c r="BA33" s="131"/>
      <c r="BB33" s="133"/>
      <c r="BC33" s="133"/>
      <c r="BD33" s="133"/>
      <c r="BE33" s="133"/>
      <c r="BF33" s="133"/>
      <c r="BG33" s="133"/>
    </row>
    <row r="34" spans="1:59" ht="30" customHeight="1">
      <c r="A34" s="229">
        <v>11</v>
      </c>
      <c r="B34" s="385" t="s">
        <v>270</v>
      </c>
      <c r="C34" s="420"/>
      <c r="D34" s="386"/>
      <c r="E34" s="417"/>
      <c r="F34" s="418"/>
      <c r="G34" s="418"/>
      <c r="H34" s="419"/>
      <c r="I34" s="163"/>
      <c r="J34" s="163"/>
      <c r="K34" s="163"/>
      <c r="L34" s="163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165"/>
      <c r="AC34" s="131"/>
      <c r="AD34" s="131"/>
      <c r="AE34" s="131"/>
      <c r="AF34" s="131"/>
      <c r="AG34" s="131"/>
      <c r="AH34" s="131"/>
      <c r="AI34" s="131"/>
      <c r="AJ34" s="131"/>
      <c r="AK34" s="183"/>
      <c r="AL34" s="184"/>
      <c r="AM34" s="131"/>
      <c r="AN34" s="185"/>
      <c r="AO34" s="131"/>
      <c r="AP34" s="185"/>
      <c r="AQ34" s="131"/>
      <c r="AR34" s="183"/>
      <c r="AS34" s="131"/>
      <c r="AT34" s="131"/>
      <c r="AU34" s="131"/>
      <c r="AV34" s="131"/>
      <c r="AW34" s="183"/>
      <c r="AX34" s="186"/>
      <c r="AY34" s="186"/>
      <c r="AZ34" s="186"/>
      <c r="BA34" s="131"/>
      <c r="BB34" s="133"/>
      <c r="BC34" s="133"/>
      <c r="BD34" s="133"/>
      <c r="BE34" s="133"/>
      <c r="BF34" s="133"/>
      <c r="BG34" s="133"/>
    </row>
    <row r="35" spans="1:59" ht="50.1" customHeight="1">
      <c r="A35" s="162">
        <v>12</v>
      </c>
      <c r="B35" s="417"/>
      <c r="C35" s="418"/>
      <c r="D35" s="419"/>
      <c r="E35" s="417"/>
      <c r="F35" s="418"/>
      <c r="G35" s="418"/>
      <c r="H35" s="419"/>
      <c r="I35" s="163"/>
      <c r="J35" s="163"/>
      <c r="K35" s="163"/>
      <c r="L35" s="163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165"/>
      <c r="AC35" s="131"/>
      <c r="AD35" s="131"/>
      <c r="AE35" s="131"/>
      <c r="AF35" s="131"/>
      <c r="AG35" s="131"/>
      <c r="AH35" s="131"/>
      <c r="AI35" s="131"/>
      <c r="AJ35" s="131"/>
      <c r="AK35" s="183"/>
      <c r="AL35" s="184"/>
      <c r="AM35" s="131"/>
      <c r="AN35" s="185"/>
      <c r="AO35" s="131"/>
      <c r="AP35" s="185"/>
      <c r="AQ35" s="131"/>
      <c r="AR35" s="183"/>
      <c r="AS35" s="131"/>
      <c r="AT35" s="131"/>
      <c r="AU35" s="131"/>
      <c r="AV35" s="131"/>
      <c r="AW35" s="183"/>
      <c r="AX35" s="186"/>
      <c r="AY35" s="186"/>
      <c r="AZ35" s="186"/>
      <c r="BA35" s="131"/>
      <c r="BB35" s="133"/>
      <c r="BC35" s="133"/>
      <c r="BD35" s="133"/>
      <c r="BE35" s="133"/>
      <c r="BF35" s="133"/>
      <c r="BG35" s="133"/>
    </row>
    <row r="36" spans="1:59" ht="11.25" customHeight="1">
      <c r="A36" s="174"/>
      <c r="B36" s="175"/>
      <c r="C36" s="175"/>
      <c r="D36" s="175"/>
      <c r="E36" s="175"/>
      <c r="G36" s="163"/>
      <c r="H36" s="163"/>
      <c r="I36" s="163"/>
      <c r="J36" s="163"/>
      <c r="K36" s="163"/>
      <c r="L36" s="163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165"/>
      <c r="AC36" s="131"/>
      <c r="AD36" s="131"/>
      <c r="AE36" s="131"/>
      <c r="AF36" s="131"/>
      <c r="AG36" s="131"/>
      <c r="AH36" s="131"/>
      <c r="AI36" s="131"/>
      <c r="AJ36" s="131"/>
      <c r="AK36" s="183"/>
      <c r="AL36" s="184"/>
      <c r="AM36" s="131"/>
      <c r="AN36" s="185"/>
      <c r="AO36" s="131"/>
      <c r="AP36" s="185"/>
      <c r="AQ36" s="131"/>
      <c r="AR36" s="183"/>
      <c r="AS36" s="131"/>
      <c r="AT36" s="131"/>
      <c r="AU36" s="131"/>
      <c r="AV36" s="131"/>
      <c r="AW36" s="183"/>
      <c r="AX36" s="186"/>
      <c r="AY36" s="186"/>
      <c r="AZ36" s="186"/>
      <c r="BA36" s="131"/>
      <c r="BB36" s="133"/>
      <c r="BC36" s="133"/>
      <c r="BD36" s="133"/>
      <c r="BE36" s="133"/>
      <c r="BF36" s="133"/>
      <c r="BG36" s="133"/>
    </row>
    <row r="37" spans="1:59" ht="11.25" customHeight="1">
      <c r="A37" s="174"/>
      <c r="B37" s="175"/>
      <c r="C37" s="175"/>
      <c r="D37" s="175"/>
      <c r="E37" s="175"/>
      <c r="G37" s="163"/>
      <c r="H37" s="163"/>
      <c r="I37" s="163"/>
      <c r="J37" s="163"/>
      <c r="K37" s="163"/>
      <c r="L37" s="163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165"/>
      <c r="AC37" s="131"/>
      <c r="AD37" s="131"/>
      <c r="AE37" s="131"/>
      <c r="AF37" s="131"/>
      <c r="AG37" s="131"/>
      <c r="AH37" s="131"/>
      <c r="AI37" s="131"/>
      <c r="AJ37" s="131"/>
      <c r="AK37" s="183"/>
      <c r="AL37" s="184"/>
      <c r="AM37" s="131"/>
      <c r="AN37" s="185"/>
      <c r="AO37" s="131"/>
      <c r="AP37" s="185"/>
      <c r="AQ37" s="131"/>
      <c r="AR37" s="183"/>
      <c r="AS37" s="131"/>
      <c r="AT37" s="131"/>
      <c r="AU37" s="131"/>
      <c r="AV37" s="131"/>
      <c r="AW37" s="183"/>
      <c r="AX37" s="186"/>
      <c r="AY37" s="186"/>
      <c r="AZ37" s="186"/>
      <c r="BA37" s="131"/>
      <c r="BB37" s="133"/>
      <c r="BC37" s="133"/>
      <c r="BD37" s="133"/>
      <c r="BE37" s="133"/>
      <c r="BF37" s="133"/>
      <c r="BG37" s="133"/>
    </row>
    <row r="38" spans="1:59" ht="15">
      <c r="A38" s="174" t="s">
        <v>271</v>
      </c>
      <c r="B38" s="175"/>
      <c r="C38" s="175"/>
      <c r="D38" s="175"/>
      <c r="E38" s="175"/>
      <c r="F38" s="175"/>
      <c r="G38" s="175"/>
      <c r="H38" s="175"/>
      <c r="AC38" s="131"/>
      <c r="AD38" s="131"/>
      <c r="AE38" s="131"/>
      <c r="AF38" s="131"/>
      <c r="AG38" s="131"/>
      <c r="AH38" s="131"/>
      <c r="AI38" s="131"/>
      <c r="AJ38" s="131"/>
      <c r="AK38" s="183"/>
      <c r="AL38" s="184"/>
      <c r="AM38" s="131"/>
      <c r="AN38" s="185"/>
      <c r="AO38" s="131"/>
      <c r="AP38" s="185"/>
      <c r="AQ38" s="131"/>
      <c r="AR38" s="183"/>
      <c r="AS38" s="131"/>
      <c r="AT38" s="131"/>
      <c r="AU38" s="131"/>
      <c r="AV38" s="131"/>
      <c r="AW38" s="183"/>
      <c r="AX38" s="186"/>
      <c r="AY38" s="186"/>
      <c r="AZ38" s="186"/>
      <c r="BA38" s="131"/>
      <c r="BB38" s="133"/>
      <c r="BC38" s="133"/>
      <c r="BD38" s="133"/>
      <c r="BE38" s="133"/>
      <c r="BF38" s="133"/>
      <c r="BG38" s="133"/>
    </row>
    <row r="39" spans="1:59" ht="3" customHeight="1">
      <c r="A39" s="175"/>
      <c r="B39" s="175"/>
      <c r="C39" s="175"/>
      <c r="D39" s="175"/>
      <c r="E39" s="175"/>
      <c r="F39" s="175"/>
      <c r="G39" s="175"/>
      <c r="H39" s="175"/>
      <c r="AC39" s="131"/>
      <c r="AD39" s="131"/>
      <c r="AE39" s="131"/>
      <c r="AF39" s="131"/>
      <c r="AG39" s="131"/>
      <c r="AH39" s="131"/>
      <c r="AI39" s="131"/>
      <c r="AJ39" s="131"/>
      <c r="AK39" s="183"/>
      <c r="AL39" s="184"/>
      <c r="AM39" s="131"/>
      <c r="AN39" s="185"/>
      <c r="AO39" s="131"/>
      <c r="AP39" s="185"/>
      <c r="AQ39" s="131"/>
      <c r="AR39" s="183"/>
      <c r="AS39" s="131"/>
      <c r="AT39" s="131"/>
      <c r="AU39" s="131"/>
      <c r="AV39" s="131"/>
      <c r="AW39" s="183"/>
      <c r="AX39" s="186"/>
      <c r="AY39" s="186"/>
      <c r="AZ39" s="186"/>
      <c r="BA39" s="131"/>
      <c r="BB39" s="133"/>
      <c r="BC39" s="133"/>
      <c r="BD39" s="133"/>
      <c r="BE39" s="133"/>
      <c r="BF39" s="133"/>
      <c r="BG39" s="133"/>
    </row>
    <row r="40" spans="1:59">
      <c r="A40" s="421" t="s">
        <v>186</v>
      </c>
      <c r="B40" s="422"/>
      <c r="C40" s="422"/>
      <c r="D40" s="423"/>
      <c r="E40" s="373" t="s">
        <v>187</v>
      </c>
      <c r="F40" s="373"/>
      <c r="G40" s="373" t="s">
        <v>126</v>
      </c>
      <c r="H40" s="373"/>
      <c r="AC40" s="131"/>
      <c r="AD40" s="131"/>
      <c r="AE40" s="131"/>
      <c r="AF40" s="131"/>
      <c r="AG40" s="131"/>
      <c r="AH40" s="131"/>
      <c r="AI40" s="131"/>
      <c r="AJ40" s="131"/>
      <c r="AK40" s="183"/>
      <c r="AL40" s="184"/>
      <c r="AM40" s="131"/>
      <c r="AN40" s="185"/>
      <c r="AO40" s="131"/>
      <c r="AP40" s="185"/>
      <c r="AQ40" s="131"/>
      <c r="AR40" s="183"/>
      <c r="AS40" s="131"/>
      <c r="AT40" s="131"/>
      <c r="AU40" s="131"/>
      <c r="AV40" s="131"/>
      <c r="AW40" s="183"/>
      <c r="AX40" s="186"/>
      <c r="AY40" s="186"/>
      <c r="AZ40" s="186"/>
      <c r="BA40" s="131"/>
      <c r="BB40" s="133"/>
      <c r="BC40" s="133"/>
      <c r="BD40" s="133"/>
      <c r="BE40" s="133"/>
      <c r="BF40" s="133"/>
      <c r="BG40" s="133"/>
    </row>
    <row r="41" spans="1:59" ht="15">
      <c r="A41" s="421" t="s">
        <v>239</v>
      </c>
      <c r="B41" s="422"/>
      <c r="C41" s="422"/>
      <c r="D41" s="423"/>
      <c r="E41" s="412"/>
      <c r="F41" s="412"/>
      <c r="G41" s="412"/>
      <c r="H41" s="412"/>
      <c r="Z41" s="132"/>
      <c r="AA41" s="132"/>
      <c r="AB41" s="132"/>
      <c r="AC41" s="131"/>
      <c r="AD41" s="131"/>
      <c r="AE41" s="131"/>
      <c r="AF41" s="131"/>
      <c r="AG41" s="131"/>
      <c r="AH41" s="131"/>
      <c r="AI41" s="131"/>
      <c r="AJ41" s="131"/>
      <c r="AK41" s="183"/>
      <c r="AL41" s="184"/>
      <c r="AM41" s="131"/>
      <c r="AN41" s="185"/>
      <c r="AO41" s="131"/>
      <c r="AP41" s="185"/>
      <c r="AQ41" s="131"/>
      <c r="AR41" s="183"/>
      <c r="AS41" s="131"/>
      <c r="AT41" s="131"/>
      <c r="AU41" s="131"/>
      <c r="AV41" s="131"/>
      <c r="AW41" s="183"/>
      <c r="AX41" s="186"/>
      <c r="AY41" s="186"/>
      <c r="AZ41" s="186"/>
      <c r="BA41" s="131"/>
      <c r="BB41" s="133"/>
      <c r="BC41" s="133"/>
      <c r="BD41" s="133"/>
      <c r="BE41" s="133"/>
      <c r="BF41" s="133"/>
      <c r="BG41" s="133"/>
    </row>
    <row r="42" spans="1:59">
      <c r="A42" s="421" t="s">
        <v>240</v>
      </c>
      <c r="B42" s="422"/>
      <c r="C42" s="422"/>
      <c r="D42" s="423"/>
      <c r="E42" s="412"/>
      <c r="F42" s="412"/>
      <c r="G42" s="412"/>
      <c r="H42" s="412"/>
      <c r="Z42" s="240"/>
      <c r="AA42" s="240"/>
      <c r="AB42" s="240"/>
      <c r="AC42" s="131"/>
      <c r="AD42" s="131"/>
      <c r="AE42" s="131"/>
      <c r="AF42" s="131"/>
      <c r="AG42" s="131"/>
      <c r="AH42" s="131"/>
      <c r="AI42" s="131"/>
      <c r="AJ42" s="131"/>
      <c r="AK42" s="183"/>
      <c r="AL42" s="184"/>
      <c r="AM42" s="131"/>
      <c r="AN42" s="185"/>
      <c r="AO42" s="131"/>
      <c r="AP42" s="185"/>
      <c r="AQ42" s="131"/>
      <c r="AR42" s="183"/>
      <c r="AS42" s="131"/>
      <c r="AT42" s="131"/>
      <c r="AU42" s="131"/>
      <c r="AV42" s="131"/>
      <c r="AW42" s="183"/>
      <c r="AX42" s="186"/>
      <c r="AY42" s="186"/>
      <c r="AZ42" s="186"/>
      <c r="BA42" s="131"/>
      <c r="BB42" s="133"/>
      <c r="BC42" s="133"/>
      <c r="BD42" s="133"/>
      <c r="BE42" s="133"/>
      <c r="BF42" s="133"/>
      <c r="BG42" s="133"/>
    </row>
    <row r="43" spans="1:59">
      <c r="A43" s="421" t="s">
        <v>241</v>
      </c>
      <c r="B43" s="422"/>
      <c r="C43" s="422"/>
      <c r="D43" s="423"/>
      <c r="E43" s="407"/>
      <c r="F43" s="407"/>
      <c r="G43" s="407"/>
      <c r="H43" s="407"/>
      <c r="K43" s="127"/>
      <c r="L43" s="242"/>
      <c r="M43" s="242"/>
      <c r="N43" s="127"/>
      <c r="O43" s="17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83"/>
      <c r="AL43" s="184"/>
      <c r="AM43" s="131"/>
      <c r="AN43" s="185"/>
      <c r="AO43" s="131"/>
      <c r="AP43" s="185"/>
      <c r="AQ43" s="131"/>
      <c r="AR43" s="183"/>
      <c r="AS43" s="131"/>
      <c r="AT43" s="131"/>
      <c r="AU43" s="131"/>
      <c r="AV43" s="131"/>
      <c r="AW43" s="183"/>
      <c r="AX43" s="186"/>
      <c r="AY43" s="186"/>
      <c r="AZ43" s="186"/>
      <c r="BA43" s="131"/>
      <c r="BB43" s="133"/>
      <c r="BC43" s="133"/>
      <c r="BD43" s="133"/>
      <c r="BE43" s="133"/>
      <c r="BF43" s="133"/>
      <c r="BG43" s="133"/>
    </row>
    <row r="44" spans="1:59">
      <c r="A44" s="421" t="s">
        <v>242</v>
      </c>
      <c r="B44" s="422"/>
      <c r="C44" s="422"/>
      <c r="D44" s="423"/>
      <c r="E44" s="407"/>
      <c r="F44" s="407"/>
      <c r="G44" s="407"/>
      <c r="H44" s="407"/>
      <c r="L44" s="127"/>
      <c r="M44" s="242"/>
      <c r="N44" s="242"/>
      <c r="O44" s="17"/>
      <c r="P44" s="134"/>
      <c r="Q44" s="134"/>
      <c r="R44" s="134"/>
      <c r="S44" s="134"/>
      <c r="T44" s="134"/>
      <c r="U44" s="134"/>
      <c r="V44" s="131"/>
      <c r="W44" s="134"/>
      <c r="X44" s="134"/>
      <c r="Y44" s="134"/>
      <c r="Z44" s="134"/>
      <c r="AA44" s="134"/>
      <c r="AB44" s="134"/>
      <c r="AC44" s="131"/>
      <c r="AD44" s="131"/>
      <c r="AE44" s="131"/>
      <c r="AF44" s="131"/>
      <c r="AG44" s="131"/>
      <c r="AH44" s="131"/>
      <c r="AI44" s="131"/>
      <c r="AJ44" s="131"/>
      <c r="AK44" s="183"/>
      <c r="AL44" s="184"/>
      <c r="AM44" s="131"/>
      <c r="AN44" s="185"/>
      <c r="AO44" s="131"/>
      <c r="AP44" s="185"/>
      <c r="AQ44" s="131"/>
      <c r="AR44" s="183"/>
      <c r="AS44" s="131"/>
      <c r="AT44" s="131"/>
      <c r="AU44" s="131"/>
      <c r="AV44" s="131"/>
      <c r="AW44" s="183"/>
      <c r="AX44" s="186"/>
      <c r="AY44" s="186"/>
      <c r="AZ44" s="186"/>
      <c r="BA44" s="131"/>
      <c r="BB44" s="133"/>
      <c r="BC44" s="133"/>
      <c r="BD44" s="133"/>
      <c r="BE44" s="133"/>
      <c r="BF44" s="133"/>
      <c r="BG44" s="133"/>
    </row>
    <row r="45" spans="1:59" ht="14.25" customHeight="1">
      <c r="A45" s="421" t="s">
        <v>243</v>
      </c>
      <c r="B45" s="422"/>
      <c r="C45" s="422"/>
      <c r="D45" s="423"/>
      <c r="E45" s="407"/>
      <c r="F45" s="407"/>
      <c r="G45" s="407"/>
      <c r="H45" s="407"/>
      <c r="K45" s="127"/>
      <c r="L45" s="127"/>
      <c r="M45" s="127"/>
      <c r="N45" s="127"/>
      <c r="O45" s="17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83"/>
      <c r="AL45" s="184"/>
      <c r="AM45" s="131"/>
      <c r="AN45" s="185"/>
      <c r="AO45" s="131"/>
      <c r="AP45" s="185"/>
      <c r="AQ45" s="131"/>
      <c r="AR45" s="183"/>
      <c r="AS45" s="131"/>
      <c r="AT45" s="131"/>
      <c r="AU45" s="131"/>
      <c r="AV45" s="131"/>
      <c r="AW45" s="183"/>
      <c r="AX45" s="186"/>
      <c r="AY45" s="186"/>
      <c r="AZ45" s="186"/>
      <c r="BA45" s="131"/>
      <c r="BB45" s="133"/>
      <c r="BC45" s="133"/>
      <c r="BD45" s="133"/>
      <c r="BE45" s="133"/>
      <c r="BF45" s="133"/>
      <c r="BG45" s="133"/>
    </row>
    <row r="46" spans="1:59">
      <c r="A46" s="421" t="s">
        <v>238</v>
      </c>
      <c r="B46" s="422"/>
      <c r="C46" s="422"/>
      <c r="D46" s="423"/>
      <c r="E46" s="407"/>
      <c r="F46" s="407"/>
      <c r="G46" s="407"/>
      <c r="H46" s="407"/>
      <c r="L46" s="127"/>
      <c r="M46" s="127"/>
      <c r="N46" s="127"/>
      <c r="O46" s="17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83"/>
      <c r="AL46" s="184"/>
      <c r="AM46" s="131"/>
      <c r="AN46" s="185"/>
      <c r="AO46" s="131"/>
      <c r="AP46" s="185"/>
      <c r="AQ46" s="131"/>
      <c r="AR46" s="183"/>
      <c r="AS46" s="131"/>
      <c r="AT46" s="131"/>
      <c r="AU46" s="131"/>
      <c r="AV46" s="131"/>
      <c r="AW46" s="183"/>
      <c r="AX46" s="186"/>
      <c r="AY46" s="186"/>
      <c r="AZ46" s="186"/>
      <c r="BA46" s="131"/>
      <c r="BB46" s="133"/>
      <c r="BC46" s="133"/>
      <c r="BD46" s="133"/>
      <c r="BE46" s="133"/>
      <c r="BF46" s="133"/>
      <c r="BG46" s="133"/>
    </row>
    <row r="47" spans="1:59" ht="15">
      <c r="A47" s="421" t="s">
        <v>192</v>
      </c>
      <c r="B47" s="422"/>
      <c r="C47" s="422"/>
      <c r="D47" s="423"/>
      <c r="E47" s="407"/>
      <c r="F47" s="407"/>
      <c r="G47" s="407"/>
      <c r="H47" s="407"/>
      <c r="L47" s="242"/>
      <c r="M47" s="242"/>
      <c r="N47" s="127"/>
      <c r="O47" s="17"/>
      <c r="P47" s="132"/>
      <c r="Q47" s="132"/>
      <c r="R47" s="132"/>
      <c r="S47" s="132"/>
      <c r="T47" s="132"/>
      <c r="U47" s="132"/>
      <c r="V47" s="131"/>
      <c r="W47" s="132"/>
      <c r="X47" s="132"/>
      <c r="Y47" s="132"/>
      <c r="Z47" s="132"/>
      <c r="AA47" s="132"/>
      <c r="AB47" s="132"/>
      <c r="AC47" s="131"/>
      <c r="AD47" s="131"/>
      <c r="AE47" s="131"/>
      <c r="AF47" s="131"/>
      <c r="AG47" s="131"/>
      <c r="AH47" s="131"/>
      <c r="AI47" s="131"/>
      <c r="AJ47" s="131"/>
      <c r="AK47" s="183"/>
      <c r="AL47" s="184"/>
      <c r="AM47" s="131"/>
      <c r="AN47" s="185"/>
      <c r="AO47" s="131"/>
      <c r="AP47" s="185"/>
      <c r="AQ47" s="131"/>
      <c r="AR47" s="183"/>
      <c r="AS47" s="131"/>
      <c r="AT47" s="131"/>
      <c r="AU47" s="131"/>
      <c r="AV47" s="131"/>
      <c r="AW47" s="183"/>
      <c r="AX47" s="186"/>
      <c r="AY47" s="186"/>
      <c r="AZ47" s="186"/>
      <c r="BA47" s="131"/>
      <c r="BB47" s="133"/>
      <c r="BC47" s="133"/>
      <c r="BD47" s="133"/>
      <c r="BE47" s="133"/>
      <c r="BF47" s="133"/>
      <c r="BG47" s="133"/>
    </row>
    <row r="48" spans="1:59" ht="14.25" customHeight="1">
      <c r="A48" s="421" t="s">
        <v>244</v>
      </c>
      <c r="B48" s="422"/>
      <c r="C48" s="422"/>
      <c r="D48" s="423"/>
      <c r="E48" s="407"/>
      <c r="F48" s="407"/>
      <c r="G48" s="407"/>
      <c r="H48" s="407"/>
      <c r="L48" s="127"/>
      <c r="M48" s="127"/>
      <c r="N48" s="242"/>
      <c r="O48" s="24"/>
      <c r="P48" s="140"/>
      <c r="Q48" s="140"/>
      <c r="R48" s="140"/>
      <c r="S48" s="140"/>
      <c r="T48" s="140"/>
      <c r="U48" s="140"/>
      <c r="V48" s="131"/>
      <c r="W48" s="140"/>
      <c r="X48" s="140"/>
      <c r="Y48" s="140"/>
      <c r="Z48" s="140"/>
      <c r="AA48" s="140"/>
      <c r="AB48" s="140"/>
      <c r="AC48" s="131"/>
      <c r="AD48" s="131"/>
      <c r="AE48" s="131"/>
      <c r="AF48" s="131"/>
      <c r="AG48" s="131"/>
      <c r="AH48" s="131"/>
      <c r="AI48" s="131"/>
      <c r="AJ48" s="131"/>
      <c r="AK48" s="183"/>
      <c r="AL48" s="184"/>
      <c r="AM48" s="131"/>
      <c r="AN48" s="185"/>
      <c r="AO48" s="131"/>
      <c r="AP48" s="185"/>
      <c r="AQ48" s="131"/>
      <c r="AR48" s="183"/>
      <c r="AS48" s="131"/>
      <c r="AT48" s="131"/>
      <c r="AU48" s="131"/>
      <c r="AV48" s="131"/>
      <c r="AW48" s="183"/>
      <c r="AX48" s="186"/>
      <c r="AY48" s="186"/>
      <c r="AZ48" s="186"/>
      <c r="BA48" s="131"/>
      <c r="BB48" s="133"/>
      <c r="BC48" s="133"/>
      <c r="BD48" s="133"/>
      <c r="BE48" s="133"/>
      <c r="BF48" s="133"/>
      <c r="BG48" s="133"/>
    </row>
    <row r="49" spans="1:59" ht="15.75" customHeight="1">
      <c r="A49" s="421" t="s">
        <v>328</v>
      </c>
      <c r="B49" s="422"/>
      <c r="C49" s="422"/>
      <c r="D49" s="423"/>
      <c r="E49" s="413"/>
      <c r="F49" s="413"/>
      <c r="G49" s="413"/>
      <c r="H49" s="413"/>
      <c r="L49" s="242"/>
      <c r="M49" s="242"/>
      <c r="N49" s="127"/>
      <c r="O49" s="17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83"/>
      <c r="AS49" s="131"/>
      <c r="AT49" s="131"/>
      <c r="AU49" s="131"/>
      <c r="AV49" s="131"/>
      <c r="AW49" s="183"/>
      <c r="AX49" s="186"/>
      <c r="AY49" s="186"/>
      <c r="AZ49" s="186"/>
      <c r="BA49" s="131"/>
      <c r="BB49" s="133"/>
      <c r="BC49" s="133"/>
      <c r="BD49" s="133"/>
      <c r="BE49" s="133"/>
      <c r="BF49" s="133"/>
      <c r="BG49" s="133"/>
    </row>
    <row r="50" spans="1:59">
      <c r="A50" s="421" t="s">
        <v>228</v>
      </c>
      <c r="B50" s="422"/>
      <c r="C50" s="422"/>
      <c r="D50" s="423"/>
      <c r="E50" s="275"/>
      <c r="F50" s="212" t="str">
        <f>IF($O$147=1,"GJ",IF($O$147&lt;=3,"ton (Mg)",IF($O$147=4,"m3",IF($O$147&lt;=6,"mln m3","ton (Mg)"))))</f>
        <v>ton (Mg)</v>
      </c>
      <c r="G50" s="275"/>
      <c r="H50" s="212" t="str">
        <f>IF($Q$147=1,"GJ",IF($Q$147&lt;=3,"ton (Mg)",IF($Q$147=4,"m3",IF($Q$147&lt;=6,"mln m3","ton (Mg)"))))</f>
        <v>ton (Mg)</v>
      </c>
      <c r="I50" s="242"/>
      <c r="J50" s="242"/>
      <c r="O50" s="17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83"/>
      <c r="AS50" s="131"/>
      <c r="AT50" s="131"/>
      <c r="AU50" s="131"/>
      <c r="AV50" s="131"/>
      <c r="AW50" s="183"/>
      <c r="AX50" s="186"/>
      <c r="AY50" s="186"/>
      <c r="AZ50" s="186"/>
      <c r="BA50" s="131"/>
      <c r="BB50" s="133"/>
      <c r="BC50" s="133"/>
      <c r="BD50" s="133"/>
      <c r="BE50" s="133"/>
      <c r="BF50" s="133"/>
      <c r="BG50" s="133"/>
    </row>
    <row r="51" spans="1:59" ht="3" customHeight="1">
      <c r="A51" s="243"/>
      <c r="B51" s="243"/>
      <c r="C51" s="243"/>
      <c r="D51" s="243"/>
      <c r="E51" s="243"/>
      <c r="F51" s="243"/>
      <c r="G51" s="243"/>
      <c r="H51" s="243"/>
      <c r="O51" s="17"/>
      <c r="P51" s="244"/>
      <c r="Q51" s="244"/>
      <c r="R51" s="244"/>
      <c r="S51" s="244"/>
      <c r="T51" s="244"/>
      <c r="U51" s="244"/>
      <c r="V51" s="131"/>
      <c r="W51" s="244"/>
      <c r="X51" s="244"/>
      <c r="Y51" s="244"/>
      <c r="Z51" s="244"/>
      <c r="AA51" s="244"/>
      <c r="AB51" s="244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83"/>
      <c r="AS51" s="131"/>
      <c r="AT51" s="131"/>
      <c r="AU51" s="131"/>
      <c r="AV51" s="131"/>
      <c r="AW51" s="183"/>
      <c r="AX51" s="186"/>
      <c r="AY51" s="186"/>
      <c r="AZ51" s="186"/>
      <c r="BA51" s="131"/>
      <c r="BB51" s="133"/>
      <c r="BC51" s="133"/>
      <c r="BD51" s="133"/>
      <c r="BE51" s="133"/>
      <c r="BF51" s="133"/>
      <c r="BG51" s="133"/>
    </row>
    <row r="52" spans="1:59" ht="3" customHeight="1">
      <c r="A52" s="243"/>
      <c r="B52" s="243"/>
      <c r="C52" s="243"/>
      <c r="D52" s="243"/>
      <c r="E52" s="383"/>
      <c r="F52" s="383"/>
      <c r="G52" s="383"/>
      <c r="H52" s="383"/>
      <c r="K52" s="127"/>
      <c r="L52" s="127"/>
      <c r="M52" s="127"/>
      <c r="N52" s="127"/>
      <c r="O52" s="17"/>
      <c r="P52" s="216"/>
      <c r="Q52" s="216"/>
      <c r="R52" s="216"/>
      <c r="S52" s="216"/>
      <c r="T52" s="131"/>
      <c r="U52" s="131"/>
      <c r="V52" s="131"/>
      <c r="W52" s="216"/>
      <c r="X52" s="216"/>
      <c r="Y52" s="216"/>
      <c r="Z52" s="216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83"/>
      <c r="AS52" s="131"/>
      <c r="AT52" s="131"/>
      <c r="AU52" s="131"/>
      <c r="AV52" s="131"/>
      <c r="AW52" s="183"/>
      <c r="AX52" s="186"/>
      <c r="AY52" s="186"/>
      <c r="AZ52" s="186"/>
      <c r="BA52" s="131"/>
      <c r="BB52" s="133"/>
      <c r="BC52" s="133"/>
      <c r="BD52" s="133"/>
      <c r="BE52" s="133"/>
      <c r="BF52" s="133"/>
      <c r="BG52" s="133"/>
    </row>
    <row r="53" spans="1:59" ht="18" customHeight="1">
      <c r="A53" s="385" t="s">
        <v>337</v>
      </c>
      <c r="B53" s="420"/>
      <c r="C53" s="420"/>
      <c r="D53" s="386"/>
      <c r="E53" s="381"/>
      <c r="F53" s="381"/>
      <c r="G53" s="381"/>
      <c r="H53" s="381"/>
      <c r="K53" s="127"/>
      <c r="L53" s="127"/>
      <c r="M53" s="127"/>
      <c r="N53" s="127"/>
      <c r="O53" s="17"/>
      <c r="P53" s="216"/>
      <c r="Q53" s="216"/>
      <c r="R53" s="216"/>
      <c r="S53" s="216"/>
      <c r="T53" s="131"/>
      <c r="U53" s="131"/>
      <c r="V53" s="131"/>
      <c r="W53" s="216"/>
      <c r="X53" s="216"/>
      <c r="Y53" s="216"/>
      <c r="Z53" s="216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83"/>
      <c r="AS53" s="131"/>
      <c r="AT53" s="131"/>
      <c r="AU53" s="131"/>
      <c r="AV53" s="131"/>
      <c r="AW53" s="183"/>
      <c r="AX53" s="186"/>
      <c r="AY53" s="186"/>
      <c r="AZ53" s="186"/>
      <c r="BA53" s="131"/>
      <c r="BB53" s="133"/>
      <c r="BC53" s="133"/>
      <c r="BD53" s="133"/>
      <c r="BE53" s="133"/>
      <c r="BF53" s="133"/>
      <c r="BG53" s="133"/>
    </row>
    <row r="54" spans="1:59" ht="18" customHeight="1">
      <c r="A54" s="385" t="s">
        <v>338</v>
      </c>
      <c r="B54" s="420"/>
      <c r="C54" s="420"/>
      <c r="D54" s="386"/>
      <c r="E54" s="381"/>
      <c r="F54" s="381"/>
      <c r="G54" s="381"/>
      <c r="H54" s="381"/>
      <c r="K54" s="127"/>
      <c r="O54" s="17"/>
      <c r="P54" s="131"/>
      <c r="Q54" s="131"/>
      <c r="R54" s="131"/>
      <c r="S54" s="131"/>
      <c r="T54" s="135"/>
      <c r="U54" s="131"/>
      <c r="V54" s="131"/>
      <c r="W54" s="131"/>
      <c r="X54" s="131"/>
      <c r="Y54" s="131"/>
      <c r="Z54" s="131"/>
      <c r="AA54" s="135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83"/>
      <c r="AS54" s="131"/>
      <c r="AT54" s="131"/>
      <c r="AU54" s="131"/>
      <c r="AV54" s="131"/>
      <c r="AW54" s="183"/>
      <c r="AX54" s="186"/>
      <c r="AY54" s="186"/>
      <c r="AZ54" s="186"/>
      <c r="BA54" s="131"/>
      <c r="BB54" s="133"/>
      <c r="BC54" s="133"/>
      <c r="BD54" s="133"/>
      <c r="BE54" s="133"/>
      <c r="BF54" s="133"/>
      <c r="BG54" s="133"/>
    </row>
    <row r="55" spans="1:59" ht="18" customHeight="1">
      <c r="A55" s="385" t="s">
        <v>203</v>
      </c>
      <c r="B55" s="420"/>
      <c r="C55" s="420"/>
      <c r="D55" s="386"/>
      <c r="E55" s="381"/>
      <c r="F55" s="381"/>
      <c r="G55" s="381"/>
      <c r="H55" s="381"/>
      <c r="O55" s="17"/>
      <c r="P55" s="131"/>
      <c r="Q55" s="131"/>
      <c r="R55" s="131"/>
      <c r="S55" s="131"/>
      <c r="T55" s="135"/>
      <c r="U55" s="131"/>
      <c r="V55" s="131"/>
      <c r="W55" s="131"/>
      <c r="X55" s="131"/>
      <c r="Y55" s="131"/>
      <c r="Z55" s="131"/>
      <c r="AA55" s="135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83"/>
      <c r="AS55" s="131"/>
      <c r="AT55" s="131"/>
      <c r="AU55" s="131"/>
      <c r="AV55" s="131"/>
      <c r="AW55" s="183"/>
      <c r="AX55" s="186"/>
      <c r="AY55" s="186"/>
      <c r="AZ55" s="186"/>
      <c r="BA55" s="131"/>
      <c r="BB55" s="133"/>
      <c r="BC55" s="133"/>
      <c r="BD55" s="133"/>
      <c r="BE55" s="133"/>
      <c r="BF55" s="133"/>
      <c r="BG55" s="133"/>
    </row>
    <row r="56" spans="1:59" ht="5.25" customHeight="1">
      <c r="A56" s="243"/>
      <c r="B56" s="243"/>
      <c r="C56" s="243"/>
      <c r="D56" s="243"/>
      <c r="E56" s="243"/>
      <c r="F56" s="243"/>
      <c r="G56" s="243"/>
      <c r="H56" s="243"/>
      <c r="O56" s="17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83"/>
      <c r="AS56" s="131"/>
      <c r="AT56" s="131"/>
      <c r="AU56" s="131"/>
      <c r="AV56" s="131"/>
      <c r="AW56" s="183"/>
      <c r="AX56" s="186"/>
      <c r="AY56" s="186"/>
      <c r="AZ56" s="186"/>
      <c r="BA56" s="131"/>
      <c r="BB56" s="133"/>
      <c r="BC56" s="133"/>
      <c r="BD56" s="133"/>
      <c r="BE56" s="133"/>
      <c r="BF56" s="133"/>
      <c r="BG56" s="133"/>
    </row>
    <row r="57" spans="1:59" ht="18">
      <c r="A57" s="245" t="s">
        <v>354</v>
      </c>
      <c r="O57" s="17"/>
      <c r="P57" s="131"/>
      <c r="Q57" s="131"/>
      <c r="R57" s="131"/>
      <c r="S57" s="131"/>
      <c r="T57" s="135"/>
      <c r="U57" s="131"/>
      <c r="V57" s="131"/>
      <c r="W57" s="131"/>
      <c r="X57" s="131"/>
      <c r="Y57" s="131"/>
      <c r="Z57" s="131"/>
      <c r="AA57" s="135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83"/>
      <c r="AS57" s="131"/>
      <c r="AT57" s="131"/>
      <c r="AU57" s="131"/>
      <c r="AV57" s="131"/>
      <c r="AW57" s="183"/>
      <c r="AX57" s="186"/>
      <c r="AY57" s="186"/>
      <c r="AZ57" s="186"/>
      <c r="BA57" s="131"/>
      <c r="BB57" s="133"/>
      <c r="BC57" s="133"/>
      <c r="BD57" s="133"/>
      <c r="BE57" s="133"/>
      <c r="BF57" s="133"/>
      <c r="BG57" s="133"/>
    </row>
    <row r="58" spans="1:59" ht="1.5" customHeight="1">
      <c r="O58" s="17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83"/>
      <c r="AS58" s="131"/>
      <c r="AT58" s="131"/>
      <c r="AU58" s="131"/>
      <c r="AV58" s="131"/>
      <c r="AW58" s="183"/>
      <c r="AX58" s="186"/>
      <c r="AY58" s="186"/>
      <c r="AZ58" s="186"/>
      <c r="BA58" s="131"/>
      <c r="BB58" s="133"/>
      <c r="BC58" s="133"/>
      <c r="BD58" s="133"/>
      <c r="BE58" s="133"/>
      <c r="BF58" s="133"/>
      <c r="BG58" s="133"/>
    </row>
    <row r="59" spans="1:59">
      <c r="A59" s="435" t="s">
        <v>123</v>
      </c>
      <c r="B59" s="436"/>
      <c r="C59" s="436"/>
      <c r="D59" s="437"/>
      <c r="E59" s="373" t="s">
        <v>124</v>
      </c>
      <c r="F59" s="373"/>
      <c r="G59" s="373" t="s">
        <v>125</v>
      </c>
      <c r="H59" s="373"/>
      <c r="O59" s="17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83"/>
      <c r="AS59" s="131"/>
      <c r="AT59" s="131"/>
      <c r="AU59" s="131"/>
      <c r="AV59" s="131"/>
      <c r="AW59" s="183"/>
      <c r="AX59" s="186"/>
      <c r="AY59" s="186"/>
      <c r="AZ59" s="186"/>
      <c r="BA59" s="131"/>
      <c r="BB59" s="133"/>
      <c r="BC59" s="133"/>
      <c r="BD59" s="133"/>
      <c r="BE59" s="133"/>
      <c r="BF59" s="133"/>
      <c r="BG59" s="133"/>
    </row>
    <row r="60" spans="1:59" ht="15">
      <c r="A60" s="438"/>
      <c r="B60" s="439"/>
      <c r="C60" s="439"/>
      <c r="D60" s="440"/>
      <c r="E60" s="220" t="s">
        <v>132</v>
      </c>
      <c r="F60" s="220" t="s">
        <v>126</v>
      </c>
      <c r="G60" s="220" t="s">
        <v>127</v>
      </c>
      <c r="H60" s="220" t="s">
        <v>128</v>
      </c>
      <c r="O60" s="17"/>
      <c r="P60" s="131"/>
      <c r="Q60" s="131"/>
      <c r="R60" s="131"/>
      <c r="S60" s="141"/>
      <c r="T60" s="141"/>
      <c r="U60" s="132"/>
      <c r="V60" s="131"/>
      <c r="W60" s="131"/>
      <c r="X60" s="131"/>
      <c r="Y60" s="131"/>
      <c r="Z60" s="141"/>
      <c r="AA60" s="246"/>
      <c r="AB60" s="132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83"/>
      <c r="AS60" s="131"/>
      <c r="AT60" s="131"/>
      <c r="AU60" s="131"/>
      <c r="AV60" s="131"/>
      <c r="AW60" s="183"/>
      <c r="AX60" s="186"/>
      <c r="AY60" s="186"/>
      <c r="AZ60" s="186"/>
      <c r="BA60" s="131"/>
      <c r="BB60" s="133"/>
      <c r="BC60" s="133"/>
      <c r="BD60" s="133"/>
      <c r="BE60" s="133"/>
      <c r="BF60" s="133"/>
      <c r="BG60" s="133"/>
    </row>
    <row r="61" spans="1:59" ht="15">
      <c r="A61" s="405">
        <v>1</v>
      </c>
      <c r="B61" s="429"/>
      <c r="C61" s="429"/>
      <c r="D61" s="406"/>
      <c r="E61" s="220">
        <v>2</v>
      </c>
      <c r="F61" s="220">
        <v>3</v>
      </c>
      <c r="G61" s="220">
        <v>4</v>
      </c>
      <c r="H61" s="220">
        <v>5</v>
      </c>
      <c r="O61" s="17"/>
      <c r="P61" s="131"/>
      <c r="Q61" s="131"/>
      <c r="R61" s="131"/>
      <c r="S61" s="131"/>
      <c r="T61" s="136"/>
      <c r="U61" s="132"/>
      <c r="V61" s="131"/>
      <c r="W61" s="131"/>
      <c r="X61" s="131"/>
      <c r="Y61" s="131"/>
      <c r="Z61" s="131"/>
      <c r="AA61" s="132"/>
      <c r="AB61" s="132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83"/>
      <c r="AS61" s="131"/>
      <c r="AT61" s="131"/>
      <c r="AU61" s="131"/>
      <c r="AV61" s="131"/>
      <c r="AW61" s="183"/>
      <c r="AX61" s="186"/>
      <c r="AY61" s="186"/>
      <c r="AZ61" s="186"/>
      <c r="BA61" s="131"/>
      <c r="BB61" s="133"/>
      <c r="BC61" s="133"/>
      <c r="BD61" s="133"/>
      <c r="BE61" s="133"/>
      <c r="BF61" s="133"/>
      <c r="BG61" s="133"/>
    </row>
    <row r="62" spans="1:59" ht="16.5">
      <c r="A62" s="421" t="s">
        <v>206</v>
      </c>
      <c r="B62" s="422"/>
      <c r="C62" s="422"/>
      <c r="D62" s="423"/>
      <c r="E62" s="149">
        <f>IF($O$164&lt;301001,$E$50*$E$53*$O$183*(100-$F$177)/100,IF($O$164&lt;=301003,"Nie oblicza się",IF($O$164&lt;701001,$E$50*$E$53*$O$183*(100-$F$177)/100,$E$50*$O$183*(100-$F$177)/100)))</f>
        <v>0</v>
      </c>
      <c r="F62" s="149">
        <f>IF($Q$164&lt;301001,$G$50*$G$53*$Q$183*(100-$K$177)/100,IF($Q$164&lt;=301003,"Nie oblicza się",IF($Q$164&lt;701001,$G$50*$G$53*$Q$183*(100-$K$177)/100,$G$50*$Q$183*(100-$K$177)/100)))</f>
        <v>0</v>
      </c>
      <c r="G62" s="149">
        <f>IF(E62-F62&gt;0,E62-F62,0)</f>
        <v>0</v>
      </c>
      <c r="H62" s="157">
        <f>IF(E62=0,0,(G62/E62)*100)</f>
        <v>0</v>
      </c>
      <c r="O62" s="17"/>
      <c r="P62" s="137"/>
      <c r="Q62" s="131"/>
      <c r="R62" s="131"/>
      <c r="S62" s="131"/>
      <c r="T62" s="131"/>
      <c r="U62" s="131"/>
      <c r="V62" s="131"/>
      <c r="W62" s="137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83"/>
      <c r="AS62" s="131"/>
      <c r="AT62" s="131"/>
      <c r="AU62" s="131"/>
      <c r="AV62" s="131"/>
      <c r="AW62" s="183"/>
      <c r="AX62" s="186"/>
      <c r="AY62" s="186"/>
      <c r="AZ62" s="186"/>
      <c r="BA62" s="131"/>
      <c r="BB62" s="133"/>
      <c r="BC62" s="133"/>
      <c r="BD62" s="133"/>
      <c r="BE62" s="133"/>
      <c r="BF62" s="133"/>
      <c r="BG62" s="133"/>
    </row>
    <row r="63" spans="1:59">
      <c r="A63" s="421" t="s">
        <v>207</v>
      </c>
      <c r="B63" s="422"/>
      <c r="C63" s="422"/>
      <c r="D63" s="423"/>
      <c r="E63" s="149">
        <f>IF($O$164&lt;301001,$E$50*$O$184*(100-$F$178)/100,IF($O$164&lt;=301003,"Nie oblicza się",$E$50*$O$184*(100-$F$178)/100))</f>
        <v>0</v>
      </c>
      <c r="F63" s="149">
        <f>IF($Q$164&lt;301001,$G$50*$Q$184*(100-$K$178)/100,IF($Q$164&lt;=301003,"Nie oblicza się",$G$50*$Q$184*(100-$K$178)/100))</f>
        <v>0</v>
      </c>
      <c r="G63" s="149">
        <f t="shared" ref="G63:G65" si="0">IF(E63-F63&gt;0,E63-F63,0)</f>
        <v>0</v>
      </c>
      <c r="H63" s="157">
        <f t="shared" ref="H63:H65" si="1">IF(E63=0,0,(G63/E63)*100)</f>
        <v>0</v>
      </c>
      <c r="O63" s="17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83"/>
      <c r="AX63" s="186"/>
      <c r="AY63" s="186"/>
      <c r="AZ63" s="186"/>
      <c r="BA63" s="131"/>
      <c r="BB63" s="133"/>
      <c r="BC63" s="133"/>
      <c r="BD63" s="133"/>
      <c r="BE63" s="133"/>
      <c r="BF63" s="133"/>
      <c r="BG63" s="133"/>
    </row>
    <row r="64" spans="1:59" ht="18">
      <c r="A64" s="421" t="s">
        <v>43</v>
      </c>
      <c r="B64" s="422"/>
      <c r="C64" s="422"/>
      <c r="D64" s="423"/>
      <c r="E64" s="149">
        <f>IF($O$164&lt;301001,$E$50*$O$186*(100-$F$179)/100,IF($O$164&lt;=301003,"Nie oblicza się",$E$50*$O$186*(100-$F$179)/100))</f>
        <v>0</v>
      </c>
      <c r="F64" s="149">
        <f>IF($Q$164&lt;301001,$G$50*$Q$186*(100-$K$179)/100,IF($Q$164&lt;=301003,"Nie oblicza się",$G$50*$Q$186*(100-$K$179)/100))</f>
        <v>0</v>
      </c>
      <c r="G64" s="149">
        <f t="shared" si="0"/>
        <v>0</v>
      </c>
      <c r="H64" s="157">
        <f t="shared" si="1"/>
        <v>0</v>
      </c>
      <c r="L64" s="128"/>
      <c r="O64" s="17"/>
      <c r="P64" s="131"/>
      <c r="Q64" s="142"/>
      <c r="R64" s="146"/>
      <c r="S64" s="146"/>
      <c r="T64" s="138"/>
      <c r="U64" s="131"/>
      <c r="V64" s="131"/>
      <c r="W64" s="131"/>
      <c r="X64" s="142"/>
      <c r="Y64" s="146"/>
      <c r="Z64" s="146"/>
      <c r="AA64" s="138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83"/>
      <c r="AX64" s="186"/>
      <c r="AY64" s="186"/>
      <c r="AZ64" s="186"/>
      <c r="BA64" s="131"/>
      <c r="BB64" s="133"/>
      <c r="BC64" s="133"/>
      <c r="BD64" s="133"/>
      <c r="BE64" s="133"/>
      <c r="BF64" s="133"/>
      <c r="BG64" s="133"/>
    </row>
    <row r="65" spans="1:59" ht="15">
      <c r="A65" s="337" t="s">
        <v>44</v>
      </c>
      <c r="B65" s="430"/>
      <c r="C65" s="430"/>
      <c r="D65" s="338"/>
      <c r="E65" s="149">
        <f>IF($O$164&lt;301001,$E$50*$O$187*$E$54*(100-$E$49)/(100-$E$55),IF($O$164&lt;=301003,"Nie oblicza się",IF($O$164&lt;=302221,$E$50*$O$187*$E$54*(100-$E$49)/(100-$E$55),IF($O$164&lt;=701001,$E$50*$O$187*(100-$E$49)/(100-$E$55),$E$50*$O$187*$E$54*(100-$E$49)/(100-$E$55)))))</f>
        <v>0</v>
      </c>
      <c r="F65" s="149">
        <f>IF($Q$164&lt;301001,$G$50*$Q$187*$G$54*(100-$G$49)/(100-$G$55),IF($Q$164&lt;=301003,"Nie oblicza się",IF($Q$164&lt;=302221,$G$50*$Q$187*$G$54*(100-$G$49)/(100-$G$55),IF($Q$164&lt;=701001,$G$50*$Q$187*(100-$G$49)/(100-$G$55),$G$50*$Q$187*$G$54*(100-$G$49)/(100-$G$55)))))</f>
        <v>0</v>
      </c>
      <c r="G65" s="149">
        <f t="shared" si="0"/>
        <v>0</v>
      </c>
      <c r="H65" s="157">
        <f t="shared" si="1"/>
        <v>0</v>
      </c>
      <c r="O65" s="17"/>
      <c r="P65" s="143"/>
      <c r="Q65" s="247"/>
      <c r="R65" s="247"/>
      <c r="S65" s="247"/>
      <c r="T65" s="247"/>
      <c r="U65" s="247"/>
      <c r="V65" s="131"/>
      <c r="W65" s="143"/>
      <c r="X65" s="247"/>
      <c r="Y65" s="247"/>
      <c r="Z65" s="247"/>
      <c r="AA65" s="247"/>
      <c r="AB65" s="247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83"/>
      <c r="AX65" s="186"/>
      <c r="AY65" s="186"/>
      <c r="AZ65" s="186"/>
      <c r="BA65" s="131"/>
      <c r="BB65" s="133"/>
      <c r="BC65" s="133"/>
      <c r="BD65" s="133"/>
      <c r="BE65" s="133"/>
      <c r="BF65" s="133"/>
      <c r="BG65" s="133"/>
    </row>
    <row r="66" spans="1:59" ht="3.75" customHeight="1">
      <c r="O66" s="17"/>
      <c r="P66" s="131"/>
      <c r="Q66" s="144"/>
      <c r="R66" s="144"/>
      <c r="S66" s="144"/>
      <c r="T66" s="144"/>
      <c r="U66" s="144"/>
      <c r="V66" s="145"/>
      <c r="W66" s="145"/>
      <c r="X66" s="142"/>
      <c r="Y66" s="246"/>
      <c r="Z66" s="246"/>
      <c r="AA66" s="138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83"/>
      <c r="AX66" s="186"/>
      <c r="AY66" s="186"/>
      <c r="AZ66" s="186"/>
      <c r="BA66" s="131"/>
      <c r="BB66" s="133"/>
      <c r="BC66" s="133"/>
      <c r="BD66" s="133"/>
      <c r="BE66" s="133"/>
      <c r="BF66" s="133"/>
      <c r="BG66" s="133"/>
    </row>
    <row r="67" spans="1:59" ht="19.5">
      <c r="A67" s="245" t="s">
        <v>340</v>
      </c>
      <c r="O67" s="17"/>
      <c r="P67" s="131"/>
      <c r="Q67" s="131"/>
      <c r="R67" s="138"/>
      <c r="S67" s="138"/>
      <c r="T67" s="138"/>
      <c r="U67" s="138"/>
      <c r="V67" s="131"/>
      <c r="W67" s="131"/>
      <c r="X67" s="131"/>
      <c r="Y67" s="142"/>
      <c r="Z67" s="146"/>
      <c r="AA67" s="138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83"/>
      <c r="AX67" s="186"/>
      <c r="AY67" s="186"/>
      <c r="AZ67" s="186"/>
      <c r="BA67" s="131"/>
      <c r="BB67" s="133"/>
      <c r="BC67" s="133"/>
      <c r="BD67" s="133"/>
      <c r="BE67" s="133"/>
      <c r="BF67" s="133"/>
      <c r="BG67" s="133"/>
    </row>
    <row r="68" spans="1:59" ht="2.25" customHeight="1">
      <c r="O68" s="17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83"/>
      <c r="AX68" s="186"/>
      <c r="AY68" s="186"/>
      <c r="AZ68" s="186"/>
      <c r="BA68" s="131"/>
      <c r="BB68" s="133"/>
      <c r="BC68" s="133"/>
      <c r="BD68" s="133"/>
      <c r="BE68" s="133"/>
      <c r="BF68" s="133"/>
      <c r="BG68" s="133"/>
    </row>
    <row r="69" spans="1:59">
      <c r="A69" s="431" t="s">
        <v>186</v>
      </c>
      <c r="B69" s="432"/>
      <c r="C69" s="432"/>
      <c r="D69" s="433"/>
      <c r="E69" s="373" t="s">
        <v>187</v>
      </c>
      <c r="F69" s="373"/>
      <c r="G69" s="373" t="s">
        <v>126</v>
      </c>
      <c r="H69" s="373"/>
      <c r="O69" s="17"/>
      <c r="P69" s="147"/>
      <c r="Q69" s="248"/>
      <c r="R69" s="248"/>
      <c r="S69" s="248"/>
      <c r="T69" s="248"/>
      <c r="U69" s="248"/>
      <c r="V69" s="246"/>
      <c r="W69" s="147"/>
      <c r="X69" s="248"/>
      <c r="Y69" s="248"/>
      <c r="Z69" s="248"/>
      <c r="AA69" s="248"/>
      <c r="AB69" s="248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83"/>
      <c r="AX69" s="186"/>
      <c r="AY69" s="186"/>
      <c r="AZ69" s="186"/>
      <c r="BA69" s="131"/>
      <c r="BB69" s="133"/>
      <c r="BC69" s="133"/>
      <c r="BD69" s="133"/>
      <c r="BE69" s="133"/>
      <c r="BF69" s="133"/>
      <c r="BG69" s="133"/>
    </row>
    <row r="70" spans="1:59" ht="24.95" customHeight="1">
      <c r="A70" s="385" t="s">
        <v>200</v>
      </c>
      <c r="B70" s="420"/>
      <c r="C70" s="420"/>
      <c r="D70" s="386"/>
      <c r="E70" s="427"/>
      <c r="F70" s="428"/>
      <c r="G70" s="427"/>
      <c r="H70" s="427"/>
      <c r="O70" s="17"/>
      <c r="P70" s="248"/>
      <c r="Q70" s="248"/>
      <c r="R70" s="248"/>
      <c r="S70" s="248"/>
      <c r="T70" s="248"/>
      <c r="U70" s="248"/>
      <c r="V70" s="246"/>
      <c r="W70" s="248"/>
      <c r="X70" s="248"/>
      <c r="Y70" s="248"/>
      <c r="Z70" s="248"/>
      <c r="AA70" s="248"/>
      <c r="AB70" s="248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83"/>
      <c r="AX70" s="186"/>
      <c r="AY70" s="186"/>
      <c r="AZ70" s="186"/>
      <c r="BA70" s="131"/>
      <c r="BB70" s="133"/>
      <c r="BC70" s="133"/>
      <c r="BD70" s="133"/>
      <c r="BE70" s="133"/>
      <c r="BF70" s="133"/>
      <c r="BG70" s="133"/>
    </row>
    <row r="71" spans="1:59" ht="24.95" customHeight="1">
      <c r="A71" s="385" t="s">
        <v>241</v>
      </c>
      <c r="B71" s="420"/>
      <c r="C71" s="420"/>
      <c r="D71" s="386"/>
      <c r="E71" s="424"/>
      <c r="F71" s="425"/>
      <c r="G71" s="394"/>
      <c r="H71" s="426"/>
      <c r="O71" s="17"/>
      <c r="P71" s="248"/>
      <c r="Q71" s="248"/>
      <c r="R71" s="248"/>
      <c r="S71" s="248"/>
      <c r="T71" s="248"/>
      <c r="U71" s="248"/>
      <c r="V71" s="246"/>
      <c r="W71" s="248"/>
      <c r="X71" s="248"/>
      <c r="Y71" s="248"/>
      <c r="Z71" s="248"/>
      <c r="AA71" s="248"/>
      <c r="AB71" s="248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83"/>
      <c r="AX71" s="186"/>
      <c r="AY71" s="186"/>
      <c r="AZ71" s="186"/>
      <c r="BA71" s="131"/>
      <c r="BB71" s="133"/>
      <c r="BC71" s="133"/>
      <c r="BD71" s="133"/>
      <c r="BE71" s="133"/>
      <c r="BF71" s="133"/>
      <c r="BG71" s="133"/>
    </row>
    <row r="72" spans="1:59">
      <c r="A72" s="337" t="s">
        <v>353</v>
      </c>
      <c r="B72" s="430"/>
      <c r="C72" s="430"/>
      <c r="D72" s="338"/>
      <c r="E72" s="155" t="e">
        <f>IF(F72=W233,VLOOKUP(J255,KOBIZE!T7:X57,3),IF(F72=X233,VLOOKUP(J255,KOBIZE!T7:X57,4),"N/d"))</f>
        <v>#N/A</v>
      </c>
      <c r="F72" s="181" t="str">
        <f>IF(E71=Q241,X233,IF(E71=Q242,X233,IF(E71=Q243,X233,IF(E71=Q263,X233,IF(E71=Q264,X233,IF(E71=J234,"N/d",W233))))))</f>
        <v>MJ/kg</v>
      </c>
      <c r="G72" s="224" t="e">
        <f>IF(H72=W233,VLOOKUP(L255,KOBIZE!T7:X57,3),IF(H72=X233,VLOOKUP(L255,KOBIZE!T7:X57,4),"N/d"))</f>
        <v>#N/A</v>
      </c>
      <c r="H72" s="222" t="str">
        <f>IF(G71=Q241,X233,IF(G71=Q242,X233,IF(G71=Q243,X233,IF(G71=Q263,X233,IF(G71=Q264,X233,IF(G71=J234,"N/d",W233))))))</f>
        <v>MJ/kg</v>
      </c>
      <c r="O72" s="17"/>
      <c r="P72" s="248"/>
      <c r="Q72" s="248"/>
      <c r="R72" s="248"/>
      <c r="S72" s="248"/>
      <c r="T72" s="248"/>
      <c r="U72" s="248"/>
      <c r="V72" s="246"/>
      <c r="W72" s="248"/>
      <c r="X72" s="248"/>
      <c r="Y72" s="248"/>
      <c r="Z72" s="248"/>
      <c r="AA72" s="248"/>
      <c r="AB72" s="248"/>
      <c r="AC72" s="131"/>
      <c r="AD72" s="131"/>
      <c r="AE72" s="131"/>
      <c r="AF72" s="131"/>
      <c r="AG72" s="131"/>
      <c r="AH72" s="131"/>
      <c r="AI72" s="131"/>
      <c r="AJ72" s="131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83"/>
      <c r="AX72" s="186"/>
      <c r="AY72" s="186"/>
      <c r="AZ72" s="186"/>
      <c r="BA72" s="131"/>
      <c r="BB72" s="133"/>
      <c r="BC72" s="133"/>
      <c r="BD72" s="133"/>
      <c r="BE72" s="133"/>
      <c r="BF72" s="133"/>
      <c r="BG72" s="133"/>
    </row>
    <row r="73" spans="1:59">
      <c r="A73" s="337" t="s">
        <v>195</v>
      </c>
      <c r="B73" s="430"/>
      <c r="C73" s="430"/>
      <c r="D73" s="338"/>
      <c r="E73" s="218">
        <f>IF(E71=J234,"N/d",IF(F50="mln m3",E50*10^6,IF(F50="m3",E50*G235,IF(F50="ton (Mg)",E50*1000))))</f>
        <v>0</v>
      </c>
      <c r="F73" s="221" t="str">
        <f>IF(F72=W233,"kg/rok",IF(F72=X233,"m3/rok","N/d"))</f>
        <v>kg/rok</v>
      </c>
      <c r="G73" s="218">
        <f>IF(G71=K234,"N/d",IF(H50="mln m3",G50*10^6,IF(H50="m3",G50*G235,IF(H50="ton (Mg)",G50*1000))))</f>
        <v>0</v>
      </c>
      <c r="H73" s="222" t="str">
        <f>IF(H72=W233,"kg/rok",IF(H72=X233,"m3/rok","N/d"))</f>
        <v>kg/rok</v>
      </c>
      <c r="K73" s="127"/>
      <c r="O73" s="17"/>
      <c r="P73" s="248"/>
      <c r="Q73" s="248"/>
      <c r="R73" s="248"/>
      <c r="S73" s="248"/>
      <c r="T73" s="248"/>
      <c r="U73" s="248"/>
      <c r="V73" s="131"/>
      <c r="W73" s="248"/>
      <c r="X73" s="248"/>
      <c r="Y73" s="248"/>
      <c r="Z73" s="248"/>
      <c r="AA73" s="248"/>
      <c r="AB73" s="248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83"/>
      <c r="AX73" s="186"/>
      <c r="AY73" s="186"/>
      <c r="AZ73" s="186"/>
      <c r="BA73" s="131"/>
      <c r="BB73" s="133"/>
      <c r="BC73" s="133"/>
      <c r="BD73" s="133"/>
      <c r="BE73" s="133"/>
      <c r="BF73" s="133"/>
      <c r="BG73" s="133"/>
    </row>
    <row r="74" spans="1:59" ht="15" customHeight="1">
      <c r="A74" s="337" t="s">
        <v>246</v>
      </c>
      <c r="B74" s="430"/>
      <c r="C74" s="430"/>
      <c r="D74" s="338"/>
      <c r="E74" s="397" t="e">
        <f>IF(E72&lt;&gt;"N/d",((E72*E73)/1000),"N/d")</f>
        <v>#N/A</v>
      </c>
      <c r="F74" s="398"/>
      <c r="G74" s="399" t="e">
        <f>IF(G72&lt;&gt;"N/d",((G72*G73)/1000),"N/d")</f>
        <v>#N/A</v>
      </c>
      <c r="H74" s="400"/>
      <c r="O74" s="17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83"/>
      <c r="AX74" s="186"/>
      <c r="AY74" s="186"/>
      <c r="AZ74" s="186"/>
      <c r="BA74" s="131"/>
      <c r="BB74" s="133"/>
      <c r="BC74" s="133"/>
      <c r="BD74" s="133"/>
      <c r="BE74" s="133"/>
      <c r="BF74" s="133"/>
      <c r="BG74" s="133"/>
    </row>
    <row r="75" spans="1:59" ht="15" customHeight="1">
      <c r="A75" s="337" t="s">
        <v>247</v>
      </c>
      <c r="B75" s="430"/>
      <c r="C75" s="430"/>
      <c r="D75" s="338"/>
      <c r="E75" s="403" t="e">
        <f>IF(E72&lt;&gt;"N/d",VLOOKUP(J255,KOBIZE!T7:X57,5),"N/d")</f>
        <v>#N/A</v>
      </c>
      <c r="F75" s="373"/>
      <c r="G75" s="403" t="e">
        <f>IF(G72&lt;&gt;"N/d",VLOOKUP(L255,KOBIZE!T7:X57,5),"N/d")</f>
        <v>#N/A</v>
      </c>
      <c r="H75" s="373"/>
      <c r="O75" s="17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83"/>
      <c r="AX75" s="186"/>
      <c r="AY75" s="186"/>
      <c r="AZ75" s="186"/>
      <c r="BA75" s="131"/>
      <c r="BB75" s="133"/>
      <c r="BC75" s="133"/>
      <c r="BD75" s="133"/>
      <c r="BE75" s="133"/>
      <c r="BF75" s="133"/>
      <c r="BG75" s="133"/>
    </row>
    <row r="76" spans="1:59" ht="3.75" customHeight="1">
      <c r="O76" s="17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1"/>
      <c r="AJ76" s="131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83"/>
      <c r="AX76" s="186"/>
      <c r="AY76" s="186"/>
      <c r="AZ76" s="186"/>
      <c r="BA76" s="131"/>
      <c r="BB76" s="133"/>
      <c r="BC76" s="133"/>
      <c r="BD76" s="133"/>
      <c r="BE76" s="133"/>
      <c r="BF76" s="133"/>
      <c r="BG76" s="133"/>
    </row>
    <row r="77" spans="1:59">
      <c r="A77" s="435" t="s">
        <v>123</v>
      </c>
      <c r="B77" s="436"/>
      <c r="C77" s="436"/>
      <c r="D77" s="437"/>
      <c r="E77" s="373" t="s">
        <v>124</v>
      </c>
      <c r="F77" s="373"/>
      <c r="G77" s="373" t="s">
        <v>125</v>
      </c>
      <c r="H77" s="373"/>
      <c r="M77" s="2"/>
      <c r="N77" s="2"/>
      <c r="O77" s="130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87"/>
      <c r="AF77" s="131"/>
      <c r="AG77" s="131"/>
      <c r="AH77" s="131"/>
      <c r="AI77" s="131"/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83"/>
      <c r="AX77" s="186"/>
      <c r="AY77" s="186"/>
      <c r="AZ77" s="186"/>
      <c r="BA77" s="131"/>
      <c r="BB77" s="133"/>
      <c r="BC77" s="133"/>
      <c r="BD77" s="133"/>
      <c r="BE77" s="133"/>
      <c r="BF77" s="133"/>
      <c r="BG77" s="133"/>
    </row>
    <row r="78" spans="1:59">
      <c r="A78" s="438"/>
      <c r="B78" s="439"/>
      <c r="C78" s="439"/>
      <c r="D78" s="440"/>
      <c r="E78" s="220" t="s">
        <v>132</v>
      </c>
      <c r="F78" s="220" t="s">
        <v>126</v>
      </c>
      <c r="G78" s="220" t="s">
        <v>127</v>
      </c>
      <c r="H78" s="220" t="s">
        <v>128</v>
      </c>
      <c r="M78" s="173"/>
      <c r="N78" s="2"/>
      <c r="O78" s="249"/>
      <c r="P78" s="133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87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83"/>
      <c r="AX78" s="186"/>
      <c r="AY78" s="186"/>
      <c r="AZ78" s="186"/>
      <c r="BA78" s="131"/>
      <c r="BB78" s="133"/>
      <c r="BC78" s="133"/>
      <c r="BD78" s="133"/>
      <c r="BE78" s="133"/>
      <c r="BF78" s="133"/>
      <c r="BG78" s="133"/>
    </row>
    <row r="79" spans="1:59">
      <c r="A79" s="441">
        <v>1</v>
      </c>
      <c r="B79" s="442"/>
      <c r="C79" s="442"/>
      <c r="D79" s="443"/>
      <c r="E79" s="220">
        <v>2</v>
      </c>
      <c r="F79" s="220">
        <v>3</v>
      </c>
      <c r="G79" s="220">
        <v>4</v>
      </c>
      <c r="H79" s="220">
        <v>5</v>
      </c>
      <c r="M79" s="2"/>
      <c r="N79" s="2"/>
      <c r="O79" s="130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83"/>
      <c r="AX79" s="186"/>
      <c r="AY79" s="186"/>
      <c r="AZ79" s="186"/>
      <c r="BA79" s="131"/>
      <c r="BB79" s="133"/>
      <c r="BC79" s="133"/>
      <c r="BD79" s="133"/>
      <c r="BE79" s="133"/>
      <c r="BF79" s="133"/>
      <c r="BG79" s="133"/>
    </row>
    <row r="80" spans="1:59" ht="14.25" customHeight="1">
      <c r="A80" s="385" t="s">
        <v>282</v>
      </c>
      <c r="B80" s="420"/>
      <c r="C80" s="420"/>
      <c r="D80" s="386"/>
      <c r="E80" s="225" t="e">
        <f>IF(E74&lt;&gt;"N/d",E74*E75,"N/d")</f>
        <v>#N/A</v>
      </c>
      <c r="F80" s="225" t="e">
        <f>IF(G74&lt;&gt;"N/d",G74*G75,"0")</f>
        <v>#N/A</v>
      </c>
      <c r="G80" s="233" t="e">
        <f>IF(E80&lt;&gt;"N/d",E80-F80,"N/d")</f>
        <v>#N/A</v>
      </c>
      <c r="H80" s="219" t="e">
        <f>IF(E80&lt;&gt;"N/d",(G80/E80)*100,"N/d")</f>
        <v>#N/A</v>
      </c>
      <c r="O80" s="17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3"/>
      <c r="BC80" s="133"/>
      <c r="BD80" s="133"/>
      <c r="BE80" s="133"/>
      <c r="BF80" s="133"/>
      <c r="BG80" s="133"/>
    </row>
    <row r="81" spans="1:59">
      <c r="O81" s="17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3"/>
      <c r="BC81" s="133"/>
      <c r="BD81" s="133"/>
      <c r="BE81" s="133"/>
      <c r="BF81" s="133"/>
      <c r="BG81" s="133"/>
    </row>
    <row r="82" spans="1:59">
      <c r="O82" s="17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3"/>
      <c r="BC82" s="133"/>
      <c r="BD82" s="133"/>
      <c r="BE82" s="133"/>
      <c r="BF82" s="133"/>
      <c r="BG82" s="133"/>
    </row>
    <row r="83" spans="1:59">
      <c r="O83" s="17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3"/>
      <c r="BC83" s="133"/>
      <c r="BD83" s="133"/>
      <c r="BE83" s="133"/>
      <c r="BF83" s="133"/>
      <c r="BG83" s="133"/>
    </row>
    <row r="84" spans="1:59">
      <c r="K84" s="2"/>
      <c r="L84" s="2"/>
      <c r="M84" s="2"/>
      <c r="N84" s="2"/>
      <c r="O84" s="17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AA84" s="131"/>
      <c r="AB84" s="131"/>
      <c r="AC84" s="131"/>
      <c r="AD84" s="131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1"/>
      <c r="AZ84" s="131"/>
      <c r="BA84" s="131"/>
      <c r="BB84" s="133"/>
      <c r="BC84" s="133"/>
      <c r="BD84" s="133"/>
      <c r="BE84" s="133"/>
      <c r="BF84" s="133"/>
      <c r="BG84" s="133"/>
    </row>
    <row r="85" spans="1:59" ht="34.5" customHeight="1">
      <c r="F85" s="176"/>
      <c r="G85" s="176"/>
      <c r="K85" s="2"/>
      <c r="L85" s="2"/>
      <c r="M85" s="2"/>
      <c r="N85" s="2"/>
      <c r="O85" s="17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3"/>
      <c r="BC85" s="133"/>
      <c r="BD85" s="133"/>
      <c r="BE85" s="133"/>
      <c r="BF85" s="133"/>
      <c r="BG85" s="133"/>
    </row>
    <row r="86" spans="1:59" ht="15">
      <c r="A86" s="175"/>
      <c r="B86" s="250">
        <f ca="1">TODAY()</f>
        <v>44550</v>
      </c>
      <c r="C86" s="280"/>
      <c r="D86" s="280"/>
      <c r="E86" s="175"/>
      <c r="F86" s="177" t="s">
        <v>209</v>
      </c>
      <c r="G86" s="178"/>
      <c r="H86" s="178"/>
      <c r="K86" s="2"/>
      <c r="L86" s="2"/>
      <c r="M86" s="2"/>
      <c r="N86" s="2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</row>
    <row r="87" spans="1:59" ht="15">
      <c r="B87" s="230" t="s">
        <v>223</v>
      </c>
      <c r="C87" s="281"/>
      <c r="D87" s="281"/>
      <c r="F87" s="179" t="s">
        <v>210</v>
      </c>
      <c r="G87" s="178"/>
      <c r="H87" s="178"/>
      <c r="K87" s="128"/>
      <c r="L87" s="2"/>
      <c r="M87" s="2"/>
      <c r="N87" s="2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</row>
    <row r="88" spans="1:59" ht="12" customHeight="1">
      <c r="A88" s="180" t="s">
        <v>248</v>
      </c>
      <c r="B88" s="150"/>
      <c r="C88" s="150"/>
      <c r="D88" s="150"/>
      <c r="E88" s="150"/>
      <c r="F88" s="150"/>
      <c r="G88" s="150"/>
      <c r="H88" s="150"/>
      <c r="K88" s="2"/>
      <c r="L88" s="2"/>
      <c r="M88" s="2"/>
      <c r="N88" s="2"/>
      <c r="O88" s="129"/>
      <c r="P88" s="2"/>
    </row>
    <row r="89" spans="1:59" ht="22.5" customHeight="1">
      <c r="A89" s="404" t="s">
        <v>367</v>
      </c>
      <c r="B89" s="404"/>
      <c r="C89" s="404"/>
      <c r="D89" s="404"/>
      <c r="E89" s="404"/>
      <c r="F89" s="404"/>
      <c r="G89" s="404"/>
      <c r="H89" s="404"/>
      <c r="K89" s="2"/>
      <c r="L89" s="2"/>
      <c r="M89" s="2"/>
      <c r="N89" s="2"/>
      <c r="O89" s="2"/>
      <c r="P89" s="2"/>
    </row>
    <row r="90" spans="1:59" ht="24.75" customHeight="1">
      <c r="A90" s="404" t="s">
        <v>352</v>
      </c>
      <c r="B90" s="404"/>
      <c r="C90" s="404"/>
      <c r="D90" s="404"/>
      <c r="E90" s="404"/>
      <c r="F90" s="404"/>
      <c r="G90" s="404"/>
      <c r="H90" s="404"/>
      <c r="K90" s="2"/>
      <c r="L90" s="2"/>
      <c r="M90" s="2"/>
      <c r="N90" s="2"/>
      <c r="O90" s="2"/>
      <c r="P90" s="2"/>
    </row>
    <row r="91" spans="1:59">
      <c r="K91" s="2"/>
      <c r="L91" s="2"/>
      <c r="M91" s="2"/>
      <c r="N91" s="2"/>
      <c r="O91" s="2"/>
      <c r="P91" s="2"/>
    </row>
    <row r="92" spans="1:59">
      <c r="K92" s="2"/>
      <c r="L92" s="2"/>
      <c r="M92" s="2"/>
      <c r="N92" s="2"/>
      <c r="O92" s="2"/>
      <c r="P92" s="2"/>
    </row>
    <row r="93" spans="1:59">
      <c r="K93" s="2"/>
      <c r="L93" s="2"/>
      <c r="M93" s="2"/>
      <c r="N93" s="2"/>
      <c r="O93" s="2"/>
      <c r="P93" s="2"/>
    </row>
    <row r="94" spans="1:59" ht="15">
      <c r="K94" s="128"/>
      <c r="L94" s="2"/>
      <c r="M94" s="2"/>
      <c r="N94" s="2"/>
      <c r="O94" s="2"/>
      <c r="P94" s="2"/>
    </row>
    <row r="95" spans="1:59">
      <c r="K95" s="2"/>
      <c r="L95" s="2"/>
      <c r="M95" s="2"/>
      <c r="N95" s="2"/>
      <c r="O95" s="2"/>
      <c r="P95" s="2"/>
    </row>
    <row r="97" spans="1:8" ht="15">
      <c r="A97" s="178"/>
    </row>
    <row r="98" spans="1:8" ht="15">
      <c r="A98" s="178"/>
      <c r="B98" s="175"/>
      <c r="C98" s="175"/>
      <c r="D98" s="175"/>
      <c r="E98" s="175"/>
      <c r="F98" s="175"/>
      <c r="G98" s="175"/>
      <c r="H98" s="175"/>
    </row>
    <row r="99" spans="1:8" ht="15">
      <c r="A99" s="178"/>
      <c r="B99" s="175"/>
      <c r="C99" s="175"/>
      <c r="D99" s="175"/>
      <c r="F99" s="175"/>
      <c r="G99" s="175"/>
      <c r="H99" s="175"/>
    </row>
    <row r="100" spans="1:8" ht="15">
      <c r="A100" s="178"/>
      <c r="B100" s="175"/>
      <c r="C100" s="175"/>
      <c r="D100" s="175"/>
      <c r="E100" s="175"/>
      <c r="F100" s="175"/>
      <c r="G100" s="175"/>
      <c r="H100" s="175"/>
    </row>
    <row r="101" spans="1:8" ht="15" hidden="1">
      <c r="A101" s="178"/>
      <c r="B101" s="175"/>
      <c r="C101" s="175"/>
      <c r="D101" s="175"/>
      <c r="E101" s="175"/>
      <c r="F101" s="175"/>
      <c r="G101" s="175"/>
      <c r="H101" s="175"/>
    </row>
    <row r="102" spans="1:8" ht="15" hidden="1">
      <c r="A102" s="178"/>
      <c r="H102" s="175"/>
    </row>
    <row r="103" spans="1:8" ht="15" hidden="1">
      <c r="A103" s="178"/>
      <c r="B103" s="175"/>
      <c r="C103" s="175"/>
      <c r="D103" s="175"/>
      <c r="E103" s="175"/>
      <c r="F103" s="175"/>
      <c r="G103" s="175"/>
      <c r="H103" s="175"/>
    </row>
    <row r="104" spans="1:8" ht="15" hidden="1">
      <c r="A104" s="178"/>
      <c r="B104" s="175"/>
      <c r="C104" s="175"/>
      <c r="D104" s="175"/>
      <c r="E104" s="175"/>
      <c r="F104" s="175"/>
      <c r="G104" s="175"/>
      <c r="H104" s="175"/>
    </row>
    <row r="105" spans="1:8" ht="15" hidden="1">
      <c r="A105" s="178"/>
      <c r="B105" s="175"/>
      <c r="C105" s="175"/>
      <c r="D105" s="175"/>
      <c r="E105" s="175"/>
      <c r="F105" s="175"/>
      <c r="G105" s="175"/>
      <c r="H105" s="175"/>
    </row>
    <row r="106" spans="1:8" ht="15" hidden="1">
      <c r="A106" s="178"/>
      <c r="B106" s="175"/>
      <c r="C106" s="175"/>
      <c r="D106" s="175"/>
      <c r="E106" s="175"/>
      <c r="F106" s="175"/>
      <c r="G106" s="175"/>
      <c r="H106" s="175"/>
    </row>
    <row r="107" spans="1:8" ht="15" hidden="1">
      <c r="A107" s="178"/>
      <c r="B107" s="175"/>
      <c r="C107" s="175"/>
      <c r="D107" s="175"/>
      <c r="E107" s="175"/>
      <c r="F107" s="175"/>
      <c r="G107" s="175"/>
      <c r="H107" s="175"/>
    </row>
    <row r="108" spans="1:8" ht="15" hidden="1">
      <c r="A108" s="178"/>
      <c r="B108" s="175"/>
      <c r="C108" s="175"/>
      <c r="D108" s="175"/>
      <c r="E108" s="175"/>
      <c r="F108" s="175"/>
      <c r="G108" s="175"/>
      <c r="H108" s="175"/>
    </row>
    <row r="109" spans="1:8" ht="15" hidden="1">
      <c r="A109" s="178"/>
      <c r="B109" s="175"/>
      <c r="C109" s="175"/>
      <c r="D109" s="175"/>
      <c r="E109" s="175"/>
      <c r="F109" s="175"/>
      <c r="G109" s="175"/>
      <c r="H109" s="175"/>
    </row>
    <row r="110" spans="1:8" ht="15" hidden="1">
      <c r="A110" s="178"/>
      <c r="B110" s="175"/>
      <c r="C110" s="175"/>
      <c r="D110" s="175"/>
      <c r="E110" s="175"/>
      <c r="F110" s="175"/>
      <c r="G110" s="175"/>
      <c r="H110" s="175"/>
    </row>
    <row r="111" spans="1:8" ht="15" hidden="1">
      <c r="A111" s="178"/>
      <c r="B111" s="175"/>
      <c r="C111" s="175"/>
      <c r="D111" s="175"/>
      <c r="E111" s="175"/>
      <c r="F111" s="175"/>
      <c r="G111" s="175"/>
      <c r="H111" s="175"/>
    </row>
    <row r="112" spans="1:8" hidden="1">
      <c r="A112" s="175"/>
      <c r="B112" s="175"/>
      <c r="C112" s="175"/>
      <c r="D112" s="175"/>
      <c r="E112" s="175"/>
      <c r="F112" s="175"/>
      <c r="G112" s="175"/>
      <c r="H112" s="175"/>
    </row>
    <row r="113" spans="1:8" hidden="1"/>
    <row r="114" spans="1:8" hidden="1"/>
    <row r="115" spans="1:8" hidden="1"/>
    <row r="116" spans="1:8" ht="15" hidden="1">
      <c r="F116" s="178"/>
      <c r="G116" s="178"/>
      <c r="H116" s="178"/>
    </row>
    <row r="117" spans="1:8" ht="15" hidden="1">
      <c r="A117" s="370"/>
      <c r="B117" s="370"/>
      <c r="C117" s="276"/>
      <c r="D117" s="276"/>
      <c r="E117" s="251"/>
    </row>
    <row r="118" spans="1:8" ht="15" hidden="1">
      <c r="A118" s="371"/>
      <c r="B118" s="371"/>
      <c r="C118" s="277"/>
      <c r="D118" s="277"/>
      <c r="E118" s="252"/>
      <c r="G118" s="178"/>
      <c r="H118" s="178"/>
    </row>
    <row r="119" spans="1:8" ht="15" hidden="1">
      <c r="A119" s="175"/>
      <c r="B119" s="178"/>
      <c r="C119" s="178"/>
      <c r="D119" s="178"/>
      <c r="E119" s="178"/>
      <c r="F119" s="178"/>
      <c r="G119" s="178"/>
      <c r="H119" s="178"/>
    </row>
    <row r="120" spans="1:8" hidden="1"/>
    <row r="121" spans="1:8" hidden="1"/>
    <row r="122" spans="1:8" hidden="1"/>
    <row r="123" spans="1:8" hidden="1"/>
    <row r="124" spans="1:8" hidden="1"/>
    <row r="125" spans="1:8" hidden="1"/>
    <row r="126" spans="1:8" hidden="1"/>
    <row r="127" spans="1:8" hidden="1"/>
    <row r="128" spans="1:8" hidden="1"/>
    <row r="129" spans="2:54" hidden="1"/>
    <row r="130" spans="2:54" hidden="1"/>
    <row r="131" spans="2:54" hidden="1"/>
    <row r="132" spans="2:54" hidden="1">
      <c r="B132" s="372" t="s">
        <v>54</v>
      </c>
      <c r="C132" s="372"/>
      <c r="D132" s="372"/>
      <c r="E132" s="372"/>
      <c r="F132" s="372"/>
      <c r="G132" s="372"/>
      <c r="H132" s="372"/>
      <c r="I132" s="372"/>
      <c r="J132" s="372"/>
      <c r="K132" s="372"/>
      <c r="L132" s="372"/>
    </row>
    <row r="133" spans="2:54" hidden="1">
      <c r="B133" s="372"/>
      <c r="C133" s="372"/>
      <c r="D133" s="372"/>
      <c r="E133" s="372"/>
      <c r="F133" s="372"/>
      <c r="G133" s="372"/>
      <c r="H133" s="372"/>
      <c r="I133" s="372"/>
      <c r="J133" s="372"/>
      <c r="K133" s="372"/>
      <c r="L133" s="372"/>
    </row>
    <row r="134" spans="2:54" ht="18" hidden="1">
      <c r="B134" s="372" t="s">
        <v>218</v>
      </c>
      <c r="C134" s="372"/>
      <c r="D134" s="372"/>
      <c r="E134" s="372"/>
      <c r="F134" s="372"/>
      <c r="G134" s="217"/>
      <c r="H134" s="217"/>
      <c r="I134" s="217"/>
      <c r="J134" s="217"/>
      <c r="K134" s="217"/>
      <c r="L134" s="217"/>
    </row>
    <row r="135" spans="2:54" ht="15" hidden="1">
      <c r="B135" s="363"/>
      <c r="C135" s="363"/>
      <c r="D135" s="363"/>
      <c r="E135" s="363"/>
      <c r="F135" s="363"/>
      <c r="G135" s="363"/>
      <c r="H135" s="363"/>
      <c r="I135" s="363"/>
      <c r="J135" s="363"/>
      <c r="K135" s="363"/>
      <c r="L135" s="363"/>
      <c r="T135" s="1" t="s">
        <v>377</v>
      </c>
      <c r="W135" s="72" t="s">
        <v>32</v>
      </c>
    </row>
    <row r="136" spans="2:54" ht="18" hidden="1">
      <c r="B136" s="217"/>
      <c r="C136" s="278"/>
      <c r="D136" s="278"/>
      <c r="E136" s="217"/>
      <c r="F136" s="217"/>
      <c r="G136" s="217"/>
      <c r="H136" s="217"/>
      <c r="I136" s="217"/>
      <c r="J136" s="217"/>
      <c r="K136" s="217"/>
      <c r="L136" s="217"/>
      <c r="T136" s="1" t="s">
        <v>233</v>
      </c>
      <c r="V136" s="1" t="s">
        <v>321</v>
      </c>
      <c r="W136" s="1" t="str">
        <f>IF(E41=$T$136,$T$146,IF(E41=$T$137,$T$147,IF(E41=$T$138,$T$149,IF(E41=$T$139,$T$148,IF(E41=$T$140,$T$151,IF(E41=$T$141,$T$145,IF(E41=T142,T152,IF(E41=T135,T153,""))))))))</f>
        <v/>
      </c>
    </row>
    <row r="137" spans="2:54" ht="20.25" hidden="1">
      <c r="B137" s="368" t="s">
        <v>32</v>
      </c>
      <c r="C137" s="368"/>
      <c r="D137" s="368"/>
      <c r="E137" s="368"/>
      <c r="F137" s="368"/>
      <c r="G137" s="368"/>
      <c r="H137" s="109"/>
      <c r="I137" s="368" t="s">
        <v>33</v>
      </c>
      <c r="J137" s="368"/>
      <c r="K137" s="368"/>
      <c r="L137" s="368"/>
      <c r="T137" s="1" t="s">
        <v>234</v>
      </c>
      <c r="V137" s="1" t="s">
        <v>322</v>
      </c>
      <c r="W137" s="1" t="str">
        <f>IF(E41=T138,T150,"")</f>
        <v/>
      </c>
    </row>
    <row r="138" spans="2:54" ht="18" hidden="1">
      <c r="B138" s="217"/>
      <c r="C138" s="278"/>
      <c r="D138" s="278"/>
      <c r="E138" s="217"/>
      <c r="F138" s="217"/>
      <c r="G138" s="217"/>
      <c r="H138" s="109"/>
      <c r="I138" s="217"/>
      <c r="J138" s="217"/>
      <c r="K138" s="217"/>
      <c r="L138" s="217"/>
      <c r="T138" s="1" t="s">
        <v>236</v>
      </c>
    </row>
    <row r="139" spans="2:54" ht="18" hidden="1">
      <c r="B139" s="217"/>
      <c r="C139" s="278"/>
      <c r="D139" s="278"/>
      <c r="E139" s="217"/>
      <c r="F139" s="217"/>
      <c r="G139" s="217"/>
      <c r="H139" s="109"/>
      <c r="I139" s="217"/>
      <c r="J139" s="217"/>
      <c r="K139" s="217"/>
      <c r="L139" s="217"/>
      <c r="T139" s="1" t="s">
        <v>235</v>
      </c>
      <c r="W139" s="72" t="s">
        <v>33</v>
      </c>
    </row>
    <row r="140" spans="2:54" ht="18" hidden="1">
      <c r="B140" s="365" t="s">
        <v>219</v>
      </c>
      <c r="C140" s="365"/>
      <c r="D140" s="365"/>
      <c r="E140" s="365"/>
      <c r="F140" s="365"/>
      <c r="G140" s="365"/>
      <c r="H140" s="109"/>
      <c r="I140" s="365" t="s">
        <v>219</v>
      </c>
      <c r="J140" s="365"/>
      <c r="K140" s="365"/>
      <c r="L140" s="365"/>
      <c r="T140" s="1" t="s">
        <v>237</v>
      </c>
      <c r="W140" s="1" t="str">
        <f>IF(G41=$T$136,$T$146,IF(G41=$T$137,$T$147,IF(G41=$T$138,$T$149,IF(G41=$T$139,$T$148,IF(G41=$T$140,$T$151,IF(G41=$T$141,$T$145,IF(G41=$T$142,$T$152,IF(G41=$T$135,$T$153,""))))))))</f>
        <v/>
      </c>
    </row>
    <row r="141" spans="2:54" ht="18" hidden="1">
      <c r="B141" s="363"/>
      <c r="C141" s="363"/>
      <c r="D141" s="363"/>
      <c r="E141" s="363"/>
      <c r="F141" s="363"/>
      <c r="G141" s="363"/>
      <c r="H141" s="109"/>
      <c r="I141" s="364"/>
      <c r="J141" s="363"/>
      <c r="K141" s="363"/>
      <c r="L141" s="363"/>
      <c r="T141" s="1" t="s">
        <v>134</v>
      </c>
      <c r="W141" s="1" t="str">
        <f>IF(G41=T138,T150,"")</f>
        <v/>
      </c>
    </row>
    <row r="142" spans="2:54" ht="18" hidden="1">
      <c r="B142" s="217"/>
      <c r="C142" s="278"/>
      <c r="D142" s="278"/>
      <c r="E142" s="217"/>
      <c r="F142" s="217"/>
      <c r="G142" s="217"/>
      <c r="H142" s="109"/>
      <c r="I142" s="217"/>
      <c r="J142" s="217"/>
      <c r="K142" s="217"/>
      <c r="L142" s="217"/>
      <c r="T142" s="1" t="s">
        <v>342</v>
      </c>
    </row>
    <row r="143" spans="2:54" ht="18" hidden="1">
      <c r="B143" s="365" t="s">
        <v>227</v>
      </c>
      <c r="C143" s="365"/>
      <c r="D143" s="365"/>
      <c r="E143" s="365"/>
      <c r="F143" s="217"/>
      <c r="G143" s="217"/>
      <c r="H143" s="109"/>
      <c r="I143" s="365" t="s">
        <v>227</v>
      </c>
      <c r="J143" s="365"/>
      <c r="K143" s="217"/>
      <c r="L143" s="217"/>
    </row>
    <row r="144" spans="2:54" ht="25.5" hidden="1">
      <c r="B144" s="342"/>
      <c r="C144" s="342"/>
      <c r="D144" s="342"/>
      <c r="E144" s="342"/>
      <c r="F144" s="342"/>
      <c r="G144" s="366"/>
      <c r="H144" s="63"/>
      <c r="I144" s="367"/>
      <c r="J144" s="342"/>
      <c r="K144" s="342"/>
      <c r="L144" s="342"/>
      <c r="AO144" s="2"/>
      <c r="AP144" s="4"/>
      <c r="AQ144" s="5" t="s">
        <v>0</v>
      </c>
      <c r="AR144" s="75" t="s">
        <v>1</v>
      </c>
      <c r="AS144" s="4"/>
      <c r="AT144" s="4"/>
      <c r="AU144" s="4"/>
      <c r="AV144" s="4"/>
      <c r="AW144" s="4"/>
      <c r="AX144" s="4"/>
      <c r="AY144" s="4"/>
      <c r="AZ144" s="4"/>
      <c r="BA144" s="4"/>
      <c r="BB144" s="2"/>
    </row>
    <row r="145" spans="2:57" ht="20.25" hidden="1">
      <c r="H145" s="63"/>
      <c r="O145" s="3" t="s">
        <v>32</v>
      </c>
      <c r="Q145" s="3" t="s">
        <v>33</v>
      </c>
      <c r="S145" s="6">
        <v>1</v>
      </c>
      <c r="T145" s="7" t="s">
        <v>134</v>
      </c>
      <c r="AO145" s="16"/>
      <c r="AP145" s="78" t="s">
        <v>4</v>
      </c>
      <c r="AQ145" s="78" t="s">
        <v>5</v>
      </c>
      <c r="AR145" s="79" t="s">
        <v>5</v>
      </c>
      <c r="AS145" s="78" t="s">
        <v>6</v>
      </c>
      <c r="AT145" s="80" t="s">
        <v>7</v>
      </c>
      <c r="AU145" s="78" t="s">
        <v>8</v>
      </c>
      <c r="AV145" s="9"/>
      <c r="AW145" s="9"/>
      <c r="AX145" s="9"/>
      <c r="AY145" s="9"/>
      <c r="AZ145" s="9"/>
      <c r="BA145" s="9"/>
      <c r="BB145" s="2"/>
    </row>
    <row r="146" spans="2:57" hidden="1">
      <c r="B146" s="359" t="s">
        <v>2</v>
      </c>
      <c r="C146" s="359"/>
      <c r="D146" s="359"/>
      <c r="E146" s="359"/>
      <c r="F146" s="359"/>
      <c r="G146" s="359"/>
      <c r="H146" s="63"/>
      <c r="I146" s="359" t="s">
        <v>2</v>
      </c>
      <c r="J146" s="359"/>
      <c r="K146" s="359"/>
      <c r="L146" s="359"/>
      <c r="S146" s="6">
        <v>2</v>
      </c>
      <c r="T146" s="7" t="s">
        <v>163</v>
      </c>
      <c r="V146" s="6">
        <v>1</v>
      </c>
      <c r="W146" s="8" t="s">
        <v>3</v>
      </c>
      <c r="AO146" s="16">
        <v>0</v>
      </c>
      <c r="AP146" s="16">
        <v>0</v>
      </c>
      <c r="AQ146" s="16">
        <v>0</v>
      </c>
      <c r="AR146" s="77">
        <v>0</v>
      </c>
      <c r="AS146" s="16">
        <v>0</v>
      </c>
      <c r="AT146" s="16">
        <v>0</v>
      </c>
      <c r="AU146" s="16">
        <v>0</v>
      </c>
    </row>
    <row r="147" spans="2:57" ht="15" hidden="1" thickBot="1">
      <c r="H147" s="63"/>
      <c r="O147" s="1">
        <f>IF($E$43=$T$146,$S$146,IF($E$43=$T$147,$S$147,IF($E$43=$T$148,$S$148,IF($E$43=$T$149,$S$149,IF($E$43=$T$150,$S$150,IF($E$43=$T$151,$S$151,IF($E$43=$T$152,$S$145,IF($E$43=$T$154,$S$154,1))))))))</f>
        <v>0</v>
      </c>
      <c r="Q147" s="1">
        <f>IF($G$43=$T$145,$S$145,IF($G$43=$T$146,$S$146,IF($G$43=$T$147,$S$147,IF($G$43=$T$148,$S$148,IF($G$43=$T$149,$S$149,IF($G$43=$T$150,$S$150,IF($G$43=$T$151,$S$151,IF($G$43=$T$152,$S$145,IF($G$43=$T$153,$S$145,IF($G$43=$T$154,$S$154,1))))))))))</f>
        <v>0</v>
      </c>
      <c r="S147" s="6">
        <v>3</v>
      </c>
      <c r="T147" s="7" t="s">
        <v>18</v>
      </c>
      <c r="V147" s="6">
        <v>2</v>
      </c>
      <c r="W147" s="8" t="s">
        <v>9</v>
      </c>
      <c r="AM147" s="115" t="s">
        <v>171</v>
      </c>
      <c r="AN147" s="115"/>
      <c r="AO147" s="115">
        <v>100001</v>
      </c>
      <c r="AP147" s="116">
        <v>0</v>
      </c>
      <c r="AQ147" s="116">
        <v>0</v>
      </c>
      <c r="AR147" s="117">
        <v>0</v>
      </c>
      <c r="AS147" s="116">
        <v>0</v>
      </c>
      <c r="AT147" s="116">
        <v>0</v>
      </c>
      <c r="AU147" s="116">
        <v>0</v>
      </c>
      <c r="AV147" s="6"/>
      <c r="AX147" s="6"/>
      <c r="AY147" s="6"/>
      <c r="AZ147" s="6"/>
      <c r="BA147" s="2"/>
      <c r="BB147" s="7"/>
      <c r="BC147" s="10"/>
      <c r="BD147" s="10"/>
      <c r="BE147" s="7"/>
    </row>
    <row r="148" spans="2:57" hidden="1">
      <c r="B148" s="359"/>
      <c r="C148" s="359"/>
      <c r="D148" s="359"/>
      <c r="E148" s="359"/>
      <c r="F148" s="359"/>
      <c r="G148" s="359"/>
      <c r="H148" s="63"/>
      <c r="I148" s="359"/>
      <c r="J148" s="359"/>
      <c r="K148" s="359"/>
      <c r="L148" s="359"/>
      <c r="S148" s="6">
        <v>4</v>
      </c>
      <c r="T148" s="7" t="s">
        <v>164</v>
      </c>
      <c r="AM148" s="344" t="s">
        <v>16</v>
      </c>
      <c r="AN148" s="118">
        <v>1</v>
      </c>
      <c r="AO148" s="118">
        <v>201001</v>
      </c>
      <c r="AP148" s="119">
        <v>17</v>
      </c>
      <c r="AQ148" s="119">
        <v>4</v>
      </c>
      <c r="AR148" s="120"/>
      <c r="AS148" s="120"/>
      <c r="AT148" s="119">
        <v>5</v>
      </c>
      <c r="AU148" s="119">
        <v>3</v>
      </c>
      <c r="AV148" s="6"/>
      <c r="AX148" s="6"/>
      <c r="AY148" s="6"/>
      <c r="AZ148" s="6"/>
      <c r="BA148" s="2"/>
      <c r="BB148" s="7"/>
      <c r="BC148" s="10"/>
      <c r="BD148" s="10"/>
      <c r="BE148" s="7"/>
    </row>
    <row r="149" spans="2:57" hidden="1">
      <c r="B149" s="359" t="s">
        <v>12</v>
      </c>
      <c r="C149" s="359"/>
      <c r="D149" s="359"/>
      <c r="E149" s="359"/>
      <c r="F149" s="359"/>
      <c r="G149" s="359"/>
      <c r="H149" s="63"/>
      <c r="I149" s="359" t="s">
        <v>12</v>
      </c>
      <c r="J149" s="359"/>
      <c r="K149" s="359"/>
      <c r="L149" s="359"/>
      <c r="S149" s="6">
        <v>5</v>
      </c>
      <c r="T149" s="7" t="s">
        <v>168</v>
      </c>
      <c r="V149" s="6">
        <v>1</v>
      </c>
      <c r="W149" s="8" t="s">
        <v>13</v>
      </c>
      <c r="AM149" s="345"/>
      <c r="AN149" s="16">
        <v>2</v>
      </c>
      <c r="AO149" s="16">
        <v>201002</v>
      </c>
      <c r="AP149" s="35">
        <v>16</v>
      </c>
      <c r="AQ149" s="35">
        <v>4</v>
      </c>
      <c r="AR149" s="76"/>
      <c r="AS149" s="76"/>
      <c r="AT149" s="35">
        <v>10</v>
      </c>
      <c r="AU149" s="35">
        <v>2.5</v>
      </c>
      <c r="AV149" s="6"/>
      <c r="AX149" s="6"/>
      <c r="AY149" s="6"/>
      <c r="AZ149" s="6"/>
      <c r="BA149" s="2"/>
      <c r="BB149" s="7"/>
      <c r="BC149" s="10"/>
      <c r="BD149" s="10"/>
      <c r="BE149" s="7"/>
    </row>
    <row r="150" spans="2:57" hidden="1">
      <c r="H150" s="63"/>
      <c r="O150" s="1">
        <f>IF($E$45=$T$157,$S$157,IF($E$45=$T$158,$S$158,0))</f>
        <v>0</v>
      </c>
      <c r="Q150" s="1">
        <f>IF($G$45=$T$157,$S$157,IF($G$45=$T$158,$S$158,0))</f>
        <v>0</v>
      </c>
      <c r="S150" s="6">
        <v>6</v>
      </c>
      <c r="T150" s="7" t="s">
        <v>169</v>
      </c>
      <c r="V150" s="6">
        <v>2</v>
      </c>
      <c r="W150" s="8" t="s">
        <v>166</v>
      </c>
      <c r="AM150" s="345"/>
      <c r="AN150" s="16">
        <v>3</v>
      </c>
      <c r="AO150" s="16">
        <v>201003</v>
      </c>
      <c r="AP150" s="35">
        <v>16</v>
      </c>
      <c r="AQ150" s="35">
        <v>4</v>
      </c>
      <c r="AR150" s="76"/>
      <c r="AS150" s="76"/>
      <c r="AT150" s="35">
        <v>20</v>
      </c>
      <c r="AU150" s="35">
        <v>2</v>
      </c>
      <c r="AV150" s="6"/>
      <c r="AX150" s="6"/>
      <c r="AY150" s="6"/>
      <c r="AZ150" s="6"/>
      <c r="BA150" s="2"/>
      <c r="BB150" s="7"/>
      <c r="BC150" s="10"/>
      <c r="BD150" s="10"/>
      <c r="BE150" s="7"/>
    </row>
    <row r="151" spans="2:57" hidden="1">
      <c r="B151" s="359"/>
      <c r="C151" s="359"/>
      <c r="D151" s="359"/>
      <c r="E151" s="359"/>
      <c r="F151" s="359"/>
      <c r="G151" s="359"/>
      <c r="H151" s="63"/>
      <c r="I151" s="359"/>
      <c r="J151" s="359"/>
      <c r="K151" s="359"/>
      <c r="L151" s="359"/>
      <c r="S151" s="6">
        <v>7</v>
      </c>
      <c r="T151" s="7" t="s">
        <v>165</v>
      </c>
      <c r="AM151" s="345"/>
      <c r="AN151" s="16">
        <v>4</v>
      </c>
      <c r="AO151" s="16">
        <v>202111</v>
      </c>
      <c r="AP151" s="35">
        <v>16</v>
      </c>
      <c r="AQ151" s="35">
        <v>1</v>
      </c>
      <c r="AR151" s="76"/>
      <c r="AS151" s="76"/>
      <c r="AT151" s="35">
        <v>45</v>
      </c>
      <c r="AU151" s="35">
        <v>1.5</v>
      </c>
      <c r="AV151" s="6"/>
      <c r="AX151" s="6"/>
      <c r="AY151" s="6"/>
      <c r="AZ151" s="6"/>
      <c r="BA151" s="2"/>
      <c r="BB151" s="7"/>
      <c r="BC151" s="10"/>
      <c r="BD151" s="10"/>
      <c r="BE151" s="7"/>
    </row>
    <row r="152" spans="2:57" hidden="1">
      <c r="B152" s="359" t="s">
        <v>28</v>
      </c>
      <c r="C152" s="359"/>
      <c r="D152" s="359"/>
      <c r="E152" s="359"/>
      <c r="F152" s="359"/>
      <c r="G152" s="359"/>
      <c r="H152" s="63"/>
      <c r="I152" s="359" t="s">
        <v>28</v>
      </c>
      <c r="J152" s="359"/>
      <c r="K152" s="359"/>
      <c r="L152" s="359"/>
      <c r="S152" s="6">
        <v>8</v>
      </c>
      <c r="T152" s="7" t="s">
        <v>342</v>
      </c>
      <c r="V152" s="11">
        <v>1</v>
      </c>
      <c r="W152" s="8" t="s">
        <v>17</v>
      </c>
      <c r="AM152" s="345"/>
      <c r="AN152" s="16">
        <v>5</v>
      </c>
      <c r="AO152" s="16">
        <v>202112</v>
      </c>
      <c r="AP152" s="35">
        <v>16</v>
      </c>
      <c r="AQ152" s="35">
        <v>1</v>
      </c>
      <c r="AR152" s="76"/>
      <c r="AS152" s="76"/>
      <c r="AT152" s="35">
        <v>45</v>
      </c>
      <c r="AU152" s="35">
        <v>1.5</v>
      </c>
      <c r="AV152" s="6"/>
      <c r="AX152" s="6"/>
      <c r="AY152" s="6"/>
      <c r="AZ152" s="6"/>
      <c r="BA152" s="2"/>
      <c r="BB152" s="7"/>
      <c r="BC152" s="10"/>
      <c r="BD152" s="10"/>
      <c r="BE152" s="7"/>
    </row>
    <row r="153" spans="2:57" hidden="1">
      <c r="H153" s="63"/>
      <c r="O153" s="1">
        <f>IF($E$44=$W$146,$V$146,IF($E$44=$W$147,$V$147,0))</f>
        <v>0</v>
      </c>
      <c r="Q153" s="1">
        <f>IF($G$44=$W$146,$V$146,IF($G$44=$W$147,$V$147,0))</f>
        <v>0</v>
      </c>
      <c r="S153" s="6">
        <v>9</v>
      </c>
      <c r="T153" s="7" t="s">
        <v>377</v>
      </c>
      <c r="V153" s="11">
        <v>2</v>
      </c>
      <c r="W153" s="8" t="s">
        <v>19</v>
      </c>
      <c r="AM153" s="345"/>
      <c r="AN153" s="16">
        <v>6</v>
      </c>
      <c r="AO153" s="16">
        <v>202121</v>
      </c>
      <c r="AP153" s="35">
        <v>16</v>
      </c>
      <c r="AQ153" s="35">
        <v>1.5</v>
      </c>
      <c r="AR153" s="76"/>
      <c r="AS153" s="76"/>
      <c r="AT153" s="35">
        <v>45</v>
      </c>
      <c r="AU153" s="35">
        <v>2</v>
      </c>
      <c r="AV153" s="6"/>
      <c r="AX153" s="6"/>
      <c r="AY153" s="6"/>
      <c r="AZ153" s="6"/>
      <c r="BA153" s="2"/>
      <c r="BB153" s="7"/>
      <c r="BC153" s="10"/>
      <c r="BD153" s="10"/>
      <c r="BE153" s="7"/>
    </row>
    <row r="154" spans="2:57" hidden="1">
      <c r="B154" s="359"/>
      <c r="C154" s="359"/>
      <c r="D154" s="359"/>
      <c r="E154" s="359"/>
      <c r="F154" s="359"/>
      <c r="G154" s="359"/>
      <c r="H154" s="63"/>
      <c r="I154" s="359"/>
      <c r="J154" s="359"/>
      <c r="K154" s="359"/>
      <c r="L154" s="359"/>
      <c r="O154" s="1">
        <f>O147*1000+O150*100+O153*10</f>
        <v>0</v>
      </c>
      <c r="Q154" s="1">
        <f>Q147*1000+Q150*100+Q153*10</f>
        <v>0</v>
      </c>
      <c r="S154" s="6"/>
      <c r="T154" s="7"/>
      <c r="AM154" s="345"/>
      <c r="AN154" s="16">
        <v>7</v>
      </c>
      <c r="AO154" s="16">
        <v>202122</v>
      </c>
      <c r="AP154" s="35">
        <v>16</v>
      </c>
      <c r="AQ154" s="35">
        <v>1.5</v>
      </c>
      <c r="AR154" s="76"/>
      <c r="AS154" s="76"/>
      <c r="AT154" s="35">
        <v>45</v>
      </c>
      <c r="AU154" s="35">
        <v>2</v>
      </c>
      <c r="AV154" s="6"/>
      <c r="AX154" s="6"/>
      <c r="AY154" s="6"/>
      <c r="AZ154" s="6"/>
      <c r="BA154" s="2"/>
      <c r="BB154" s="7"/>
      <c r="BC154" s="10"/>
      <c r="BD154" s="10"/>
      <c r="BE154" s="7"/>
    </row>
    <row r="155" spans="2:57" hidden="1">
      <c r="B155" s="359" t="s">
        <v>29</v>
      </c>
      <c r="C155" s="359"/>
      <c r="D155" s="359"/>
      <c r="E155" s="359"/>
      <c r="F155" s="359"/>
      <c r="G155" s="359"/>
      <c r="H155" s="63"/>
      <c r="I155" s="359" t="s">
        <v>29</v>
      </c>
      <c r="J155" s="359"/>
      <c r="K155" s="359"/>
      <c r="L155" s="359"/>
      <c r="S155" s="6"/>
      <c r="V155" s="6">
        <v>1</v>
      </c>
      <c r="W155" s="7" t="s">
        <v>20</v>
      </c>
      <c r="AM155" s="345"/>
      <c r="AN155" s="16">
        <v>8</v>
      </c>
      <c r="AO155" s="16">
        <v>202211</v>
      </c>
      <c r="AP155" s="35">
        <v>16</v>
      </c>
      <c r="AQ155" s="35">
        <v>1</v>
      </c>
      <c r="AR155" s="76"/>
      <c r="AS155" s="76"/>
      <c r="AT155" s="35">
        <v>100</v>
      </c>
      <c r="AU155" s="35">
        <v>1.5</v>
      </c>
      <c r="AV155" s="6"/>
      <c r="AX155" s="6"/>
      <c r="AY155" s="6"/>
      <c r="AZ155" s="6"/>
      <c r="BA155" s="2"/>
      <c r="BB155" s="7"/>
      <c r="BC155" s="10"/>
      <c r="BD155" s="10"/>
      <c r="BE155" s="7"/>
    </row>
    <row r="156" spans="2:57" ht="15" hidden="1" thickBot="1">
      <c r="H156" s="63"/>
      <c r="O156" s="1">
        <f>IF($E$46=$W$149,$V$149,IF($E$46=$W$150,$V$150,0))</f>
        <v>0</v>
      </c>
      <c r="Q156" s="1">
        <f>IF($G$46=$W$149,$V$149,IF($G$46=$W$150,$V$150,0))</f>
        <v>0</v>
      </c>
      <c r="S156" s="6"/>
      <c r="V156" s="11">
        <v>2</v>
      </c>
      <c r="W156" s="7" t="s">
        <v>21</v>
      </c>
      <c r="AM156" s="346"/>
      <c r="AN156" s="115">
        <v>9</v>
      </c>
      <c r="AO156" s="115">
        <v>202221</v>
      </c>
      <c r="AP156" s="116">
        <v>16</v>
      </c>
      <c r="AQ156" s="116">
        <v>1.5</v>
      </c>
      <c r="AR156" s="117"/>
      <c r="AS156" s="117"/>
      <c r="AT156" s="116">
        <v>100</v>
      </c>
      <c r="AU156" s="116">
        <v>2</v>
      </c>
      <c r="AV156" s="6"/>
      <c r="AX156" s="6"/>
      <c r="AY156" s="6"/>
      <c r="AZ156" s="6"/>
      <c r="BA156" s="2"/>
      <c r="BB156" s="7"/>
      <c r="BC156" s="10"/>
      <c r="BD156" s="10"/>
      <c r="BE156" s="7"/>
    </row>
    <row r="157" spans="2:57" hidden="1">
      <c r="B157" s="359"/>
      <c r="C157" s="359"/>
      <c r="D157" s="359"/>
      <c r="E157" s="359"/>
      <c r="F157" s="359"/>
      <c r="G157" s="359"/>
      <c r="H157" s="63"/>
      <c r="I157" s="359"/>
      <c r="J157" s="359"/>
      <c r="K157" s="359"/>
      <c r="L157" s="359"/>
      <c r="S157" s="6">
        <v>1</v>
      </c>
      <c r="T157" s="8" t="s">
        <v>133</v>
      </c>
      <c r="V157" s="11">
        <v>0</v>
      </c>
      <c r="W157" s="7" t="s">
        <v>22</v>
      </c>
      <c r="AM157" s="344" t="s">
        <v>18</v>
      </c>
      <c r="AN157" s="118">
        <v>1</v>
      </c>
      <c r="AO157" s="118">
        <v>301001</v>
      </c>
      <c r="AP157" s="119" t="s">
        <v>178</v>
      </c>
      <c r="AQ157" s="119" t="s">
        <v>178</v>
      </c>
      <c r="AR157" s="120"/>
      <c r="AS157" s="120"/>
      <c r="AT157" s="119" t="s">
        <v>178</v>
      </c>
      <c r="AU157" s="119" t="s">
        <v>178</v>
      </c>
      <c r="AV157" s="6"/>
      <c r="AX157" s="6"/>
      <c r="AY157" s="6"/>
      <c r="AZ157" s="6"/>
      <c r="BA157" s="2"/>
      <c r="BB157" s="7"/>
      <c r="BC157" s="10"/>
      <c r="BD157" s="10"/>
      <c r="BE157" s="7"/>
    </row>
    <row r="158" spans="2:57" hidden="1">
      <c r="B158" s="359" t="s">
        <v>30</v>
      </c>
      <c r="C158" s="359"/>
      <c r="D158" s="359"/>
      <c r="E158" s="359"/>
      <c r="F158" s="359"/>
      <c r="G158" s="359"/>
      <c r="H158" s="63"/>
      <c r="I158" s="359" t="s">
        <v>30</v>
      </c>
      <c r="J158" s="359"/>
      <c r="K158" s="359"/>
      <c r="L158" s="359"/>
      <c r="S158" s="6">
        <v>2</v>
      </c>
      <c r="T158" s="8" t="s">
        <v>23</v>
      </c>
      <c r="AM158" s="345"/>
      <c r="AN158" s="16">
        <v>2</v>
      </c>
      <c r="AO158" s="16">
        <v>301002</v>
      </c>
      <c r="AP158" s="35" t="s">
        <v>178</v>
      </c>
      <c r="AQ158" s="35" t="s">
        <v>178</v>
      </c>
      <c r="AR158" s="76"/>
      <c r="AS158" s="76"/>
      <c r="AT158" s="35" t="s">
        <v>178</v>
      </c>
      <c r="AU158" s="35" t="s">
        <v>178</v>
      </c>
      <c r="AV158" s="6"/>
      <c r="AX158" s="6"/>
      <c r="AY158" s="6"/>
      <c r="AZ158" s="6"/>
      <c r="BA158" s="2"/>
      <c r="BB158" s="7"/>
      <c r="BC158" s="10"/>
      <c r="BD158" s="10"/>
      <c r="BE158" s="7"/>
    </row>
    <row r="159" spans="2:57" hidden="1">
      <c r="H159" s="63"/>
      <c r="O159" s="1">
        <f>IF($E$47=$W$152,$V$152,IF($E$47=$W$153,$V$153,0))</f>
        <v>0</v>
      </c>
      <c r="Q159" s="1">
        <f>IF($G$47=$W$152,$V$152,IF($G$47=$W$153,$V$153,0))</f>
        <v>0</v>
      </c>
      <c r="V159" s="11">
        <v>1</v>
      </c>
      <c r="W159" s="8" t="s">
        <v>24</v>
      </c>
      <c r="AM159" s="345"/>
      <c r="AN159" s="16">
        <v>3</v>
      </c>
      <c r="AO159" s="16">
        <v>301003</v>
      </c>
      <c r="AP159" s="35" t="s">
        <v>178</v>
      </c>
      <c r="AQ159" s="35" t="s">
        <v>178</v>
      </c>
      <c r="AR159" s="77"/>
      <c r="AS159" s="76"/>
      <c r="AT159" s="35" t="s">
        <v>178</v>
      </c>
      <c r="AU159" s="35" t="s">
        <v>178</v>
      </c>
      <c r="AV159" s="6"/>
      <c r="AW159" s="6"/>
      <c r="AX159" s="6"/>
      <c r="AY159" s="6"/>
      <c r="AZ159" s="6"/>
      <c r="BA159" s="2"/>
      <c r="BB159" s="7"/>
      <c r="BC159" s="10"/>
      <c r="BD159" s="10"/>
      <c r="BE159" s="8"/>
    </row>
    <row r="160" spans="2:57" hidden="1">
      <c r="B160" s="359"/>
      <c r="C160" s="359"/>
      <c r="D160" s="359"/>
      <c r="E160" s="359"/>
      <c r="F160" s="359"/>
      <c r="G160" s="359"/>
      <c r="H160" s="63"/>
      <c r="I160" s="359"/>
      <c r="J160" s="359"/>
      <c r="K160" s="359"/>
      <c r="L160" s="359"/>
      <c r="O160" s="1">
        <f>O147*10000+O150*1000+O153*100+O156*10+O159</f>
        <v>0</v>
      </c>
      <c r="Q160" s="1">
        <f>Q147*10000+Q150*1000+Q153*100+Q156*10+Q159</f>
        <v>0</v>
      </c>
      <c r="V160" s="11">
        <v>2</v>
      </c>
      <c r="W160" s="8" t="s">
        <v>25</v>
      </c>
      <c r="AM160" s="345"/>
      <c r="AN160" s="16">
        <v>4</v>
      </c>
      <c r="AO160" s="16">
        <v>302111</v>
      </c>
      <c r="AP160" s="35">
        <v>16</v>
      </c>
      <c r="AQ160" s="35">
        <v>1.5</v>
      </c>
      <c r="AR160" s="76"/>
      <c r="AS160" s="76"/>
      <c r="AT160" s="35">
        <v>25</v>
      </c>
      <c r="AU160" s="35">
        <v>1.5</v>
      </c>
      <c r="AV160" s="6"/>
      <c r="AX160" s="6"/>
      <c r="AY160" s="6"/>
      <c r="AZ160" s="6"/>
      <c r="BA160" s="2"/>
      <c r="BB160" s="7"/>
      <c r="BC160" s="10"/>
      <c r="BD160" s="10"/>
      <c r="BE160" s="8"/>
    </row>
    <row r="161" spans="2:57" hidden="1">
      <c r="B161" s="359" t="s">
        <v>31</v>
      </c>
      <c r="C161" s="359"/>
      <c r="D161" s="359"/>
      <c r="E161" s="359"/>
      <c r="F161" s="359"/>
      <c r="G161" s="359"/>
      <c r="H161" s="63"/>
      <c r="I161" s="359" t="s">
        <v>31</v>
      </c>
      <c r="J161" s="359"/>
      <c r="K161" s="359"/>
      <c r="L161" s="359"/>
      <c r="S161" s="6">
        <v>1</v>
      </c>
      <c r="T161" s="7" t="s">
        <v>10</v>
      </c>
      <c r="V161" s="11">
        <v>3</v>
      </c>
      <c r="W161" s="8" t="s">
        <v>26</v>
      </c>
      <c r="AM161" s="345"/>
      <c r="AN161" s="16">
        <v>5</v>
      </c>
      <c r="AO161" s="16">
        <v>302112</v>
      </c>
      <c r="AP161" s="35">
        <v>16</v>
      </c>
      <c r="AQ161" s="35">
        <v>1.5</v>
      </c>
      <c r="AR161" s="76"/>
      <c r="AS161" s="76"/>
      <c r="AT161" s="35">
        <v>25</v>
      </c>
      <c r="AU161" s="35">
        <v>1.5</v>
      </c>
      <c r="AV161" s="6"/>
      <c r="AX161" s="6"/>
      <c r="AY161" s="6"/>
      <c r="AZ161" s="6"/>
      <c r="BA161" s="2"/>
      <c r="BB161" s="7"/>
      <c r="BC161" s="10"/>
      <c r="BD161" s="10"/>
      <c r="BE161" s="8"/>
    </row>
    <row r="162" spans="2:57" hidden="1">
      <c r="H162" s="63"/>
      <c r="O162" s="1">
        <f>IF($E$48=$T$173,$S$173,IF($E$48=$T$174,$S$174,IF($E$48=$T$175,$S$175,$S$176)))</f>
        <v>4</v>
      </c>
      <c r="Q162" s="1">
        <f>IF($G$48=$T$182,$S$182,IF($G$48=$T$183,$S$183,IF($G$48=$T$184,$S$184,$S$185)))</f>
        <v>4</v>
      </c>
      <c r="S162" s="6">
        <v>2</v>
      </c>
      <c r="T162" s="7" t="s">
        <v>11</v>
      </c>
      <c r="AM162" s="345"/>
      <c r="AN162" s="16">
        <v>6</v>
      </c>
      <c r="AO162" s="16">
        <v>302121</v>
      </c>
      <c r="AP162" s="35">
        <v>16</v>
      </c>
      <c r="AQ162" s="35">
        <v>2</v>
      </c>
      <c r="AR162" s="76"/>
      <c r="AS162" s="76"/>
      <c r="AT162" s="35">
        <v>25</v>
      </c>
      <c r="AU162" s="35">
        <v>2</v>
      </c>
      <c r="AV162" s="6"/>
      <c r="AX162" s="6"/>
      <c r="AY162" s="6"/>
      <c r="AZ162" s="6"/>
      <c r="BA162" s="2"/>
      <c r="BB162" s="7"/>
      <c r="BC162" s="10"/>
      <c r="BD162" s="10"/>
      <c r="BE162" s="8"/>
    </row>
    <row r="163" spans="2:57" hidden="1">
      <c r="H163" s="63"/>
      <c r="S163" s="6">
        <v>3</v>
      </c>
      <c r="T163" s="7" t="s">
        <v>27</v>
      </c>
      <c r="V163" s="6"/>
      <c r="W163" s="8"/>
      <c r="AM163" s="345"/>
      <c r="AN163" s="16">
        <v>7</v>
      </c>
      <c r="AO163" s="16">
        <v>302122</v>
      </c>
      <c r="AP163" s="35">
        <v>16</v>
      </c>
      <c r="AQ163" s="35">
        <v>2</v>
      </c>
      <c r="AR163" s="76"/>
      <c r="AS163" s="76"/>
      <c r="AT163" s="35">
        <v>25</v>
      </c>
      <c r="AU163" s="35">
        <v>2</v>
      </c>
      <c r="AV163" s="6"/>
      <c r="AW163" s="6"/>
      <c r="AX163" s="6"/>
      <c r="AY163" s="6"/>
      <c r="AZ163" s="6"/>
      <c r="BA163" s="2"/>
      <c r="BB163" s="7"/>
      <c r="BC163" s="10"/>
      <c r="BD163" s="10"/>
      <c r="BE163" s="8"/>
    </row>
    <row r="164" spans="2:57" hidden="1">
      <c r="B164" s="359" t="s">
        <v>34</v>
      </c>
      <c r="C164" s="359"/>
      <c r="D164" s="359"/>
      <c r="E164" s="359"/>
      <c r="F164" s="359"/>
      <c r="G164" s="359"/>
      <c r="H164" s="63"/>
      <c r="I164" s="359" t="s">
        <v>49</v>
      </c>
      <c r="J164" s="359"/>
      <c r="K164" s="359"/>
      <c r="L164" s="359"/>
      <c r="O164" s="1">
        <f>O162+O159*10+O156*100+O153*1000+O150*10000+O147*100000</f>
        <v>4</v>
      </c>
      <c r="Q164" s="1">
        <f>Q162+Q159*10+Q156*100+Q153*1000+Q150*10000+Q147*100000</f>
        <v>4</v>
      </c>
      <c r="S164" s="6">
        <v>4</v>
      </c>
      <c r="T164" s="7" t="s">
        <v>255</v>
      </c>
      <c r="V164" s="6"/>
      <c r="W164" s="8"/>
      <c r="AM164" s="345"/>
      <c r="AN164" s="16">
        <v>8</v>
      </c>
      <c r="AO164" s="16">
        <v>302211</v>
      </c>
      <c r="AP164" s="35">
        <v>16</v>
      </c>
      <c r="AQ164" s="35">
        <v>1.5</v>
      </c>
      <c r="AR164" s="76"/>
      <c r="AS164" s="76"/>
      <c r="AT164" s="35">
        <v>25</v>
      </c>
      <c r="AU164" s="35">
        <v>1.5</v>
      </c>
      <c r="AV164" s="6"/>
      <c r="AW164" s="6"/>
      <c r="AX164" s="6"/>
      <c r="AY164" s="6"/>
      <c r="AZ164" s="6"/>
      <c r="BA164" s="2"/>
      <c r="BB164" s="7"/>
      <c r="BC164" s="10"/>
      <c r="BD164" s="10"/>
      <c r="BE164" s="8"/>
    </row>
    <row r="165" spans="2:57" ht="15" hidden="1" thickBot="1">
      <c r="B165" s="12" t="s">
        <v>35</v>
      </c>
      <c r="C165" s="12"/>
      <c r="D165" s="12"/>
      <c r="E165" s="361"/>
      <c r="F165" s="362"/>
      <c r="H165" s="63"/>
      <c r="I165" s="12" t="s">
        <v>35</v>
      </c>
      <c r="J165" s="361"/>
      <c r="K165" s="362"/>
      <c r="T165" s="7" t="s">
        <v>14</v>
      </c>
      <c r="AM165" s="346"/>
      <c r="AN165" s="115">
        <v>9</v>
      </c>
      <c r="AO165" s="115">
        <v>302221</v>
      </c>
      <c r="AP165" s="116">
        <v>16</v>
      </c>
      <c r="AQ165" s="116">
        <v>2</v>
      </c>
      <c r="AR165" s="117"/>
      <c r="AS165" s="117"/>
      <c r="AT165" s="116">
        <v>25</v>
      </c>
      <c r="AU165" s="116">
        <v>2</v>
      </c>
      <c r="AV165" s="6"/>
      <c r="AW165" s="6"/>
      <c r="AX165" s="6"/>
      <c r="AY165" s="6"/>
      <c r="AZ165" s="6"/>
      <c r="BA165" s="2"/>
      <c r="BB165" s="7"/>
      <c r="BC165" s="10"/>
      <c r="BD165" s="10"/>
      <c r="BE165" s="8"/>
    </row>
    <row r="166" spans="2:57" hidden="1">
      <c r="F166" s="1" t="str">
        <f>IF($O$147=4,E165/0.73/1000000," ")</f>
        <v xml:space="preserve"> </v>
      </c>
      <c r="G166" s="1" t="str">
        <f>IF($O$147=4,"mln m3"," ")</f>
        <v xml:space="preserve"> </v>
      </c>
      <c r="H166" s="63"/>
      <c r="K166" s="1" t="str">
        <f>IF($Q$147=4,J165/0.73/1000000," ")</f>
        <v xml:space="preserve"> </v>
      </c>
      <c r="L166" s="1" t="str">
        <f>IF($Q$147=4,"mln m3"," ")</f>
        <v xml:space="preserve"> </v>
      </c>
      <c r="T166" s="7" t="s">
        <v>15</v>
      </c>
      <c r="AM166" s="344" t="s">
        <v>172</v>
      </c>
      <c r="AN166" s="118">
        <v>1</v>
      </c>
      <c r="AO166" s="118">
        <v>400001</v>
      </c>
      <c r="AP166" s="119">
        <v>19</v>
      </c>
      <c r="AQ166" s="119">
        <v>6.5</v>
      </c>
      <c r="AR166" s="120"/>
      <c r="AS166" s="120"/>
      <c r="AT166" s="119">
        <v>0.5</v>
      </c>
      <c r="AU166" s="119">
        <v>1</v>
      </c>
      <c r="AV166" s="6"/>
      <c r="AW166" s="6"/>
      <c r="AX166" s="6"/>
      <c r="AY166" s="6"/>
      <c r="AZ166" s="6"/>
      <c r="BA166" s="2"/>
      <c r="BB166" s="7"/>
      <c r="BC166" s="10"/>
      <c r="BD166" s="10"/>
      <c r="BE166" s="8"/>
    </row>
    <row r="167" spans="2:57" hidden="1">
      <c r="B167" s="359" t="s">
        <v>162</v>
      </c>
      <c r="C167" s="359"/>
      <c r="D167" s="359"/>
      <c r="E167" s="359"/>
      <c r="F167" s="359"/>
      <c r="G167" s="359"/>
      <c r="H167" s="63"/>
      <c r="I167" s="359" t="s">
        <v>162</v>
      </c>
      <c r="J167" s="359"/>
      <c r="K167" s="359"/>
      <c r="L167" s="359"/>
      <c r="S167" s="11">
        <v>1</v>
      </c>
      <c r="T167" s="8" t="s">
        <v>170</v>
      </c>
      <c r="W167" s="1" t="str">
        <f>IF($Q$154&lt;2020,$T$171,IF($Q$154&lt;3010,$W$149:$W$150,IF($Q$154=3010,$T$171,IF($Q$154=3020,$W$149:$W$150,$T$171))))</f>
        <v>NIE DOTYCZY</v>
      </c>
      <c r="X167" s="1" t="e">
        <f>IF($Q$147=1,$T$171,IF($Q$147&lt;=3,$W$146:$W$147,IF($Q$147&lt;=5,$T$171,$W$146:$W$147)))</f>
        <v>#VALUE!</v>
      </c>
      <c r="AM167" s="345"/>
      <c r="AN167" s="16">
        <v>2</v>
      </c>
      <c r="AO167" s="16">
        <v>400002</v>
      </c>
      <c r="AP167" s="35">
        <v>19</v>
      </c>
      <c r="AQ167" s="35">
        <v>5</v>
      </c>
      <c r="AR167" s="76"/>
      <c r="AS167" s="76"/>
      <c r="AT167" s="35">
        <v>0.5</v>
      </c>
      <c r="AU167" s="35">
        <v>2.75</v>
      </c>
      <c r="AV167" s="6"/>
      <c r="AW167" s="6"/>
      <c r="AX167" s="6"/>
      <c r="AY167" s="6"/>
      <c r="AZ167" s="6"/>
      <c r="BA167" s="2"/>
      <c r="BB167" s="7"/>
      <c r="BC167" s="10"/>
      <c r="BD167" s="10"/>
      <c r="BE167" s="8"/>
    </row>
    <row r="168" spans="2:57" hidden="1">
      <c r="B168" s="12" t="s">
        <v>36</v>
      </c>
      <c r="C168" s="12"/>
      <c r="D168" s="12"/>
      <c r="E168" s="361"/>
      <c r="F168" s="362"/>
      <c r="G168" s="13" t="s">
        <v>37</v>
      </c>
      <c r="H168" s="63"/>
      <c r="I168" s="12" t="s">
        <v>36</v>
      </c>
      <c r="J168" s="361"/>
      <c r="K168" s="362"/>
      <c r="L168" s="13" t="s">
        <v>37</v>
      </c>
      <c r="S168" s="11">
        <v>2</v>
      </c>
      <c r="T168" s="8" t="s">
        <v>167</v>
      </c>
      <c r="W168" s="1" t="str">
        <f>IF($O$154&lt;2020,$T$171,IF($O$154&lt;3010,$W$152:$W$153,IF($O$154=3010,$T$171,IF($O$154=3020,$W$152:$W$153,$T$171))))</f>
        <v>NIE DOTYCZY</v>
      </c>
      <c r="AM168" s="345"/>
      <c r="AN168" s="16">
        <v>3</v>
      </c>
      <c r="AO168" s="16">
        <v>400003</v>
      </c>
      <c r="AP168" s="35">
        <v>19</v>
      </c>
      <c r="AQ168" s="35">
        <v>5</v>
      </c>
      <c r="AR168" s="76"/>
      <c r="AS168" s="76"/>
      <c r="AT168" s="35">
        <v>0.6</v>
      </c>
      <c r="AU168" s="35">
        <v>1.8</v>
      </c>
      <c r="AV168" s="6"/>
      <c r="AW168" s="6"/>
      <c r="AX168" s="6"/>
      <c r="AY168" s="6"/>
      <c r="AZ168" s="6"/>
      <c r="BA168" s="2"/>
      <c r="BB168" s="7"/>
      <c r="BC168" s="10"/>
      <c r="BD168" s="10"/>
      <c r="BE168" s="8"/>
    </row>
    <row r="169" spans="2:57" ht="15" hidden="1" thickBot="1">
      <c r="H169" s="63"/>
      <c r="S169" s="11">
        <v>3</v>
      </c>
      <c r="T169" s="8" t="s">
        <v>323</v>
      </c>
      <c r="AM169" s="346"/>
      <c r="AN169" s="115">
        <v>4</v>
      </c>
      <c r="AO169" s="115">
        <v>400004</v>
      </c>
      <c r="AP169" s="116">
        <v>19</v>
      </c>
      <c r="AQ169" s="116">
        <v>5</v>
      </c>
      <c r="AR169" s="117"/>
      <c r="AS169" s="117"/>
      <c r="AT169" s="116">
        <v>0.4</v>
      </c>
      <c r="AU169" s="116">
        <v>1</v>
      </c>
      <c r="AV169" s="6"/>
      <c r="AW169" s="6"/>
      <c r="AX169" s="6"/>
      <c r="AY169" s="6"/>
      <c r="AZ169" s="6"/>
      <c r="BA169" s="2"/>
      <c r="BB169" s="7"/>
      <c r="BC169" s="10"/>
      <c r="BD169" s="10"/>
      <c r="BE169" s="8"/>
    </row>
    <row r="170" spans="2:57" hidden="1">
      <c r="B170" s="359" t="s">
        <v>38</v>
      </c>
      <c r="C170" s="359"/>
      <c r="D170" s="359"/>
      <c r="E170" s="359"/>
      <c r="F170" s="359"/>
      <c r="G170" s="359"/>
      <c r="H170" s="63"/>
      <c r="I170" s="359" t="s">
        <v>38</v>
      </c>
      <c r="J170" s="359"/>
      <c r="K170" s="359"/>
      <c r="L170" s="359"/>
      <c r="AL170" s="360" t="s">
        <v>175</v>
      </c>
      <c r="AM170" s="345" t="s">
        <v>173</v>
      </c>
      <c r="AN170" s="33">
        <v>1</v>
      </c>
      <c r="AO170" s="33">
        <v>510001</v>
      </c>
      <c r="AP170" s="32">
        <v>2</v>
      </c>
      <c r="AQ170" s="32">
        <v>4800</v>
      </c>
      <c r="AR170" s="114"/>
      <c r="AS170" s="114"/>
      <c r="AT170" s="32">
        <v>270</v>
      </c>
      <c r="AU170" s="32">
        <v>12</v>
      </c>
      <c r="AV170" s="6"/>
      <c r="AW170" s="6"/>
      <c r="AX170" s="6"/>
      <c r="AY170" s="6"/>
      <c r="AZ170" s="6"/>
      <c r="BA170" s="2"/>
      <c r="BB170" s="7"/>
      <c r="BC170" s="10"/>
      <c r="BD170" s="10"/>
      <c r="BE170" s="8"/>
    </row>
    <row r="171" spans="2:57" hidden="1">
      <c r="B171" s="12" t="s">
        <v>39</v>
      </c>
      <c r="C171" s="12"/>
      <c r="D171" s="12"/>
      <c r="E171" s="361"/>
      <c r="F171" s="362"/>
      <c r="G171" s="13" t="s">
        <v>37</v>
      </c>
      <c r="H171" s="63"/>
      <c r="I171" s="12" t="s">
        <v>39</v>
      </c>
      <c r="J171" s="361"/>
      <c r="K171" s="362"/>
      <c r="L171" s="13" t="s">
        <v>37</v>
      </c>
      <c r="T171" s="8" t="s">
        <v>215</v>
      </c>
      <c r="AL171" s="354"/>
      <c r="AM171" s="345"/>
      <c r="AN171" s="16">
        <v>2</v>
      </c>
      <c r="AO171" s="16">
        <v>510002</v>
      </c>
      <c r="AP171" s="35">
        <v>2</v>
      </c>
      <c r="AQ171" s="35">
        <v>3700</v>
      </c>
      <c r="AR171" s="76"/>
      <c r="AS171" s="76"/>
      <c r="AT171" s="35">
        <v>270</v>
      </c>
      <c r="AU171" s="35">
        <v>14.5</v>
      </c>
      <c r="AV171" s="6"/>
      <c r="AW171" s="6"/>
      <c r="AX171" s="6"/>
      <c r="AY171" s="11"/>
      <c r="AZ171" s="6"/>
      <c r="BA171" s="2"/>
      <c r="BB171" s="7"/>
      <c r="BC171" s="10"/>
      <c r="BD171" s="10"/>
      <c r="BE171" s="8"/>
    </row>
    <row r="172" spans="2:57" hidden="1">
      <c r="H172" s="63"/>
      <c r="S172" s="1" t="s">
        <v>50</v>
      </c>
      <c r="AL172" s="354"/>
      <c r="AM172" s="345"/>
      <c r="AN172" s="16">
        <v>3</v>
      </c>
      <c r="AO172" s="16">
        <v>510003</v>
      </c>
      <c r="AP172" s="35">
        <v>2</v>
      </c>
      <c r="AQ172" s="35">
        <v>1920</v>
      </c>
      <c r="AR172" s="76"/>
      <c r="AS172" s="76"/>
      <c r="AT172" s="35">
        <v>270</v>
      </c>
      <c r="AU172" s="35">
        <v>14.5</v>
      </c>
      <c r="AV172" s="6"/>
      <c r="AW172" s="6"/>
      <c r="AX172" s="6"/>
      <c r="AY172" s="11"/>
      <c r="AZ172" s="6"/>
      <c r="BA172" s="2"/>
      <c r="BB172" s="7"/>
      <c r="BC172" s="10"/>
      <c r="BD172" s="10"/>
      <c r="BE172" s="8"/>
    </row>
    <row r="173" spans="2:57" hidden="1">
      <c r="B173" s="359" t="s">
        <v>41</v>
      </c>
      <c r="C173" s="359"/>
      <c r="D173" s="359"/>
      <c r="E173" s="359"/>
      <c r="F173" s="359"/>
      <c r="G173" s="359"/>
      <c r="H173" s="63"/>
      <c r="I173" s="359" t="s">
        <v>41</v>
      </c>
      <c r="J173" s="359"/>
      <c r="K173" s="359"/>
      <c r="L173" s="359"/>
      <c r="S173" s="1">
        <v>1</v>
      </c>
      <c r="T173" s="1" t="str">
        <f>IF($O$160&lt;=10100,$W$157,IF($O$160&lt;20101,$W$159,IF($O$160&lt;=20212,$W$155,IF($O$160&lt;=20222,$W$157,IF($O$160&lt;30101,$W$159,IF($O$160&lt;=30212,$W$155,IF($O$160&lt;=30222,$W$157,(IF($O$160&lt;=62000,$T$161,(IF($O$160&lt;=70100,$T$169,$T$167)))))))))))</f>
        <v>Cały zakres wydajności cieplnej</v>
      </c>
      <c r="AL173" s="354"/>
      <c r="AM173" s="356"/>
      <c r="AN173" s="16">
        <v>4</v>
      </c>
      <c r="AO173" s="16">
        <v>510004</v>
      </c>
      <c r="AP173" s="35">
        <v>2</v>
      </c>
      <c r="AQ173" s="35">
        <v>1280</v>
      </c>
      <c r="AR173" s="76"/>
      <c r="AS173" s="76"/>
      <c r="AT173" s="35">
        <v>360</v>
      </c>
      <c r="AU173" s="35">
        <v>15</v>
      </c>
      <c r="AV173" s="6"/>
      <c r="AW173" s="6"/>
      <c r="AX173" s="6"/>
      <c r="AY173" s="6"/>
      <c r="AZ173" s="6"/>
      <c r="BA173" s="2"/>
      <c r="BB173" s="7"/>
      <c r="BE173" s="8"/>
    </row>
    <row r="174" spans="2:57" hidden="1">
      <c r="B174" s="12" t="s">
        <v>42</v>
      </c>
      <c r="C174" s="12"/>
      <c r="D174" s="12"/>
      <c r="E174" s="361"/>
      <c r="F174" s="362"/>
      <c r="G174" s="13" t="s">
        <v>37</v>
      </c>
      <c r="H174" s="63"/>
      <c r="I174" s="12" t="s">
        <v>42</v>
      </c>
      <c r="J174" s="361"/>
      <c r="K174" s="362"/>
      <c r="L174" s="13" t="s">
        <v>37</v>
      </c>
      <c r="S174" s="1">
        <v>2</v>
      </c>
      <c r="T174" s="1" t="str">
        <f>IF($O$160&lt;=10100," ",IF($O$160&lt;20101,$W$160,IF($O$160&lt;=20212,$W$156,IF($O$160&lt;=20222," ",IF($O$160&lt;30101,$W$160,IF($O$160&lt;=30212,$W$156,IF($O$160&lt;=30222," ",IF($O$160&lt;=62000,$T$162,(IF($O$160&lt;=70100," ",$T$168))))))))))</f>
        <v xml:space="preserve"> </v>
      </c>
      <c r="AL174" s="354"/>
      <c r="AM174" s="358" t="s">
        <v>174</v>
      </c>
      <c r="AN174" s="16">
        <v>1</v>
      </c>
      <c r="AO174" s="16">
        <v>520001</v>
      </c>
      <c r="AP174" s="35">
        <v>2</v>
      </c>
      <c r="AQ174" s="35">
        <v>7500</v>
      </c>
      <c r="AR174" s="76"/>
      <c r="AS174" s="76"/>
      <c r="AT174" s="35">
        <v>270</v>
      </c>
      <c r="AU174" s="35">
        <v>12</v>
      </c>
      <c r="AV174" s="6"/>
      <c r="AW174" s="6"/>
      <c r="AX174" s="6"/>
      <c r="AY174" s="6"/>
      <c r="AZ174" s="6"/>
      <c r="BA174" s="2"/>
      <c r="BB174" s="7"/>
      <c r="BE174" s="8"/>
    </row>
    <row r="175" spans="2:57" hidden="1">
      <c r="H175" s="63"/>
      <c r="S175" s="1">
        <v>3</v>
      </c>
      <c r="T175" s="1" t="str">
        <f>IF($O$160&lt;=10100," ",IF($O$160&lt;20101,$W$161,IF($O$160&lt;=20222," ",IF($O$160&lt;30101,$W$161,IF($O$160&lt;=30222," ",IF($O$160&lt;=40000,$T$163,IF($O$160&lt;=62000,$T$165," ")))))))</f>
        <v xml:space="preserve"> </v>
      </c>
      <c r="AL175" s="354"/>
      <c r="AM175" s="345"/>
      <c r="AN175" s="16">
        <v>2</v>
      </c>
      <c r="AO175" s="16">
        <v>520002</v>
      </c>
      <c r="AP175" s="35">
        <v>2</v>
      </c>
      <c r="AQ175" s="35">
        <v>3700</v>
      </c>
      <c r="AR175" s="76"/>
      <c r="AS175" s="76"/>
      <c r="AT175" s="35">
        <v>270</v>
      </c>
      <c r="AU175" s="35">
        <v>14.5</v>
      </c>
      <c r="AV175" s="6"/>
      <c r="AW175" s="6"/>
      <c r="AX175" s="6"/>
      <c r="AY175" s="6"/>
      <c r="AZ175" s="6"/>
      <c r="BA175" s="2"/>
      <c r="BB175" s="7"/>
      <c r="BE175" s="8"/>
    </row>
    <row r="176" spans="2:57" hidden="1">
      <c r="B176" s="359" t="s">
        <v>158</v>
      </c>
      <c r="C176" s="359"/>
      <c r="D176" s="359"/>
      <c r="E176" s="359"/>
      <c r="F176" s="359"/>
      <c r="G176" s="359"/>
      <c r="H176" s="63"/>
      <c r="I176" s="359" t="s">
        <v>158</v>
      </c>
      <c r="J176" s="359"/>
      <c r="K176" s="359"/>
      <c r="L176" s="359"/>
      <c r="S176" s="1">
        <v>4</v>
      </c>
      <c r="T176" s="1" t="str">
        <f>IF($O$160&lt;=30222," ",IF($O$160&lt;=40000,$T$164,IF($O$160&lt;=62000,$T$166,IF($O$160&lt;=20222," ",IF($O$160=60000,$W$157," ")))))</f>
        <v xml:space="preserve"> </v>
      </c>
      <c r="AL176" s="354"/>
      <c r="AM176" s="345"/>
      <c r="AN176" s="16">
        <v>3</v>
      </c>
      <c r="AO176" s="16">
        <v>520003</v>
      </c>
      <c r="AP176" s="35">
        <v>2</v>
      </c>
      <c r="AQ176" s="35">
        <v>1920</v>
      </c>
      <c r="AR176" s="76"/>
      <c r="AS176" s="76"/>
      <c r="AT176" s="35">
        <v>270</v>
      </c>
      <c r="AU176" s="35">
        <v>14.5</v>
      </c>
      <c r="AV176" s="6"/>
      <c r="AW176" s="6"/>
      <c r="AX176" s="6"/>
      <c r="AY176" s="6"/>
      <c r="AZ176" s="6"/>
      <c r="BA176" s="2"/>
      <c r="BB176" s="7"/>
      <c r="BE176" s="8"/>
    </row>
    <row r="177" spans="2:57" ht="19.5" hidden="1" thickBot="1">
      <c r="B177" s="74" t="s">
        <v>159</v>
      </c>
      <c r="C177" s="74"/>
      <c r="D177" s="74"/>
      <c r="E177" s="12" t="s">
        <v>40</v>
      </c>
      <c r="F177" s="253"/>
      <c r="G177" s="13" t="s">
        <v>37</v>
      </c>
      <c r="H177" s="63"/>
      <c r="I177" s="74" t="s">
        <v>159</v>
      </c>
      <c r="J177" s="12" t="s">
        <v>40</v>
      </c>
      <c r="K177" s="253"/>
      <c r="L177" s="13" t="s">
        <v>37</v>
      </c>
      <c r="AL177" s="355"/>
      <c r="AM177" s="346"/>
      <c r="AN177" s="115">
        <v>4</v>
      </c>
      <c r="AO177" s="115">
        <v>520004</v>
      </c>
      <c r="AP177" s="116">
        <v>2</v>
      </c>
      <c r="AQ177" s="116">
        <v>1280</v>
      </c>
      <c r="AR177" s="117"/>
      <c r="AS177" s="117"/>
      <c r="AT177" s="116">
        <v>360</v>
      </c>
      <c r="AU177" s="116">
        <v>15</v>
      </c>
      <c r="AV177" s="6"/>
      <c r="AW177" s="6"/>
      <c r="AX177" s="6"/>
      <c r="AY177" s="6"/>
      <c r="AZ177" s="6"/>
      <c r="BA177" s="2"/>
      <c r="BB177" s="7"/>
      <c r="BE177" s="8"/>
    </row>
    <row r="178" spans="2:57" ht="18.75" hidden="1">
      <c r="B178" s="74" t="s">
        <v>160</v>
      </c>
      <c r="C178" s="74"/>
      <c r="D178" s="74"/>
      <c r="E178" s="12" t="s">
        <v>40</v>
      </c>
      <c r="F178" s="253"/>
      <c r="G178" s="13" t="s">
        <v>37</v>
      </c>
      <c r="H178" s="63"/>
      <c r="I178" s="74" t="s">
        <v>160</v>
      </c>
      <c r="J178" s="12" t="s">
        <v>40</v>
      </c>
      <c r="K178" s="253"/>
      <c r="L178" s="13" t="s">
        <v>37</v>
      </c>
      <c r="AL178" s="353" t="s">
        <v>176</v>
      </c>
      <c r="AM178" s="344" t="s">
        <v>173</v>
      </c>
      <c r="AN178" s="118">
        <v>1</v>
      </c>
      <c r="AO178" s="118">
        <v>610001</v>
      </c>
      <c r="AP178" s="119">
        <v>1.4</v>
      </c>
      <c r="AQ178" s="119">
        <v>3360</v>
      </c>
      <c r="AR178" s="120"/>
      <c r="AS178" s="120"/>
      <c r="AT178" s="119">
        <v>190</v>
      </c>
      <c r="AU178" s="119">
        <v>8.5</v>
      </c>
      <c r="AV178" s="6"/>
      <c r="AW178" s="6"/>
      <c r="AX178" s="6"/>
      <c r="AY178" s="6"/>
      <c r="AZ178" s="6"/>
      <c r="BA178" s="2"/>
      <c r="BB178" s="7"/>
      <c r="BC178" s="10"/>
      <c r="BD178" s="10"/>
      <c r="BE178" s="8"/>
    </row>
    <row r="179" spans="2:57" hidden="1">
      <c r="B179" s="74" t="s">
        <v>7</v>
      </c>
      <c r="C179" s="74"/>
      <c r="D179" s="74"/>
      <c r="E179" s="12" t="s">
        <v>40</v>
      </c>
      <c r="F179" s="253"/>
      <c r="G179" s="13" t="s">
        <v>37</v>
      </c>
      <c r="H179" s="63"/>
      <c r="I179" s="74" t="s">
        <v>7</v>
      </c>
      <c r="J179" s="12" t="s">
        <v>40</v>
      </c>
      <c r="K179" s="253"/>
      <c r="L179" s="13" t="s">
        <v>37</v>
      </c>
      <c r="AL179" s="354"/>
      <c r="AM179" s="345"/>
      <c r="AN179" s="16">
        <v>2</v>
      </c>
      <c r="AO179" s="16">
        <v>610002</v>
      </c>
      <c r="AP179" s="35">
        <v>1.4</v>
      </c>
      <c r="AQ179" s="35">
        <v>2590</v>
      </c>
      <c r="AR179" s="76"/>
      <c r="AS179" s="76"/>
      <c r="AT179" s="35">
        <v>190</v>
      </c>
      <c r="AU179" s="35">
        <v>10.1</v>
      </c>
      <c r="AV179" s="6"/>
      <c r="AW179" s="6"/>
      <c r="AX179" s="6"/>
      <c r="AY179" s="6"/>
      <c r="AZ179" s="6"/>
      <c r="BA179" s="2"/>
      <c r="BB179" s="7"/>
      <c r="BE179" s="8"/>
    </row>
    <row r="180" spans="2:57" hidden="1">
      <c r="B180" s="74" t="s">
        <v>161</v>
      </c>
      <c r="C180" s="74"/>
      <c r="D180" s="74"/>
      <c r="E180" s="12" t="s">
        <v>40</v>
      </c>
      <c r="F180" s="253">
        <v>0</v>
      </c>
      <c r="G180" s="13" t="s">
        <v>37</v>
      </c>
      <c r="H180" s="63"/>
      <c r="I180" s="74" t="s">
        <v>161</v>
      </c>
      <c r="J180" s="12" t="s">
        <v>40</v>
      </c>
      <c r="K180" s="253"/>
      <c r="L180" s="13" t="s">
        <v>37</v>
      </c>
      <c r="AL180" s="354"/>
      <c r="AM180" s="345"/>
      <c r="AN180" s="16">
        <v>3</v>
      </c>
      <c r="AO180" s="16">
        <v>610003</v>
      </c>
      <c r="AP180" s="35">
        <v>1.4</v>
      </c>
      <c r="AQ180" s="35">
        <v>1345</v>
      </c>
      <c r="AR180" s="76"/>
      <c r="AS180" s="76"/>
      <c r="AT180" s="35">
        <v>190</v>
      </c>
      <c r="AU180" s="35">
        <v>10.1</v>
      </c>
      <c r="AV180" s="6"/>
      <c r="AW180" s="6"/>
      <c r="AX180" s="6"/>
      <c r="AY180" s="6"/>
      <c r="AZ180" s="6"/>
      <c r="BA180" s="2"/>
      <c r="BB180" s="7"/>
      <c r="BE180" s="8"/>
    </row>
    <row r="181" spans="2:57" hidden="1">
      <c r="H181" s="63"/>
      <c r="S181" s="1" t="s">
        <v>51</v>
      </c>
      <c r="AL181" s="354"/>
      <c r="AM181" s="356"/>
      <c r="AN181" s="16">
        <v>4</v>
      </c>
      <c r="AO181" s="16">
        <v>610004</v>
      </c>
      <c r="AP181" s="35">
        <v>1.4</v>
      </c>
      <c r="AQ181" s="35">
        <v>900</v>
      </c>
      <c r="AR181" s="76"/>
      <c r="AS181" s="76"/>
      <c r="AT181" s="35">
        <v>225</v>
      </c>
      <c r="AU181" s="35">
        <v>10.5</v>
      </c>
      <c r="AV181" s="6"/>
      <c r="AW181" s="6"/>
      <c r="AX181" s="6"/>
      <c r="AY181" s="6"/>
      <c r="AZ181" s="6"/>
      <c r="BA181" s="2"/>
      <c r="BB181" s="7"/>
      <c r="BC181" s="10"/>
      <c r="BD181" s="10"/>
      <c r="BE181" s="8"/>
    </row>
    <row r="182" spans="2:57" ht="15" hidden="1">
      <c r="B182" s="357" t="s">
        <v>53</v>
      </c>
      <c r="C182" s="357"/>
      <c r="D182" s="357"/>
      <c r="E182" s="357"/>
      <c r="F182" s="357"/>
      <c r="G182" s="357"/>
      <c r="H182" s="63"/>
      <c r="I182" s="357" t="s">
        <v>53</v>
      </c>
      <c r="J182" s="357"/>
      <c r="K182" s="357"/>
      <c r="L182" s="357"/>
      <c r="S182" s="1">
        <v>1</v>
      </c>
      <c r="T182" s="1" t="str">
        <f>IF($Q$160&lt;=10100,$W$157,IF($Q$160&lt;20101,$W$159,IF($Q$160&lt;=20212,$W$155,IF($Q$160&lt;=20222,$W$157,IF($Q$160&lt;30101,$W$159,IF($Q$160&lt;=30212,$W$155,IF($Q$160&lt;=30222,$W$157,(IF($Q$160&lt;=62000,$T$161,(IF($Q$160&lt;=70100,$T$169,$T$167)))))))))))</f>
        <v>Cały zakres wydajności cieplnej</v>
      </c>
      <c r="AL182" s="354"/>
      <c r="AM182" s="358" t="s">
        <v>174</v>
      </c>
      <c r="AN182" s="16">
        <v>1</v>
      </c>
      <c r="AO182" s="16">
        <v>620001</v>
      </c>
      <c r="AP182" s="35">
        <v>1.4</v>
      </c>
      <c r="AQ182" s="35">
        <v>5250</v>
      </c>
      <c r="AR182" s="77"/>
      <c r="AS182" s="77"/>
      <c r="AT182" s="35">
        <v>190</v>
      </c>
      <c r="AU182" s="35">
        <v>8.5</v>
      </c>
    </row>
    <row r="183" spans="2:57" ht="18" hidden="1">
      <c r="B183" s="14" t="s">
        <v>45</v>
      </c>
      <c r="C183" s="14"/>
      <c r="D183" s="14"/>
      <c r="E183" s="188"/>
      <c r="G183" s="61" t="s">
        <v>48</v>
      </c>
      <c r="H183" s="63"/>
      <c r="I183" s="62" t="s">
        <v>45</v>
      </c>
      <c r="J183" s="188"/>
      <c r="K183" s="70">
        <f>IF($Q$164&lt;301001,$J$165*$J$168*$Q$183*(100-$K$177)/100,IF($Q$164&lt;=301003,"Nie oblicza się",IF($Q$164&lt;701001,$J$165*$J$168*$Q$183*(100-$K$177)/100,$J$165*$Q$183*(100-$K$177)/100)))</f>
        <v>0</v>
      </c>
      <c r="L183" s="16" t="s">
        <v>48</v>
      </c>
      <c r="O183" s="1">
        <f>VLOOKUP($O$164,$AO$146:$AU$188,2)</f>
        <v>0</v>
      </c>
      <c r="Q183" s="1">
        <f>VLOOKUP($Q$164,$AO$146:$AU$188,2)</f>
        <v>0</v>
      </c>
      <c r="S183" s="1">
        <v>2</v>
      </c>
      <c r="T183" s="1" t="str">
        <f>IF($Q$160&lt;=10100," ",IF($Q$160&lt;20101,$W$160,IF($Q$160&lt;=20212,$W$156,IF($Q$160&lt;=20222," ",IF($Q$160&lt;30101,$W$160,IF($Q$160&lt;=30212,$W$156,IF($Q$160&lt;=30222," ",IF($Q$160&lt;=62000,$T$162,(IF($Q$160&lt;=70100," ",$T$168))))))))))</f>
        <v xml:space="preserve"> </v>
      </c>
      <c r="AL183" s="354"/>
      <c r="AM183" s="345"/>
      <c r="AN183" s="16">
        <v>2</v>
      </c>
      <c r="AO183" s="16">
        <v>620002</v>
      </c>
      <c r="AP183" s="35">
        <v>1.4</v>
      </c>
      <c r="AQ183" s="35">
        <v>2590</v>
      </c>
      <c r="AR183" s="77"/>
      <c r="AS183" s="77"/>
      <c r="AT183" s="35">
        <v>190</v>
      </c>
      <c r="AU183" s="35">
        <v>10.1</v>
      </c>
    </row>
    <row r="184" spans="2:57" ht="18" hidden="1">
      <c r="B184" s="14" t="s">
        <v>46</v>
      </c>
      <c r="C184" s="14"/>
      <c r="D184" s="14"/>
      <c r="E184" s="188"/>
      <c r="G184" s="61" t="s">
        <v>48</v>
      </c>
      <c r="H184" s="63"/>
      <c r="I184" s="62" t="s">
        <v>46</v>
      </c>
      <c r="J184" s="188"/>
      <c r="K184" s="15">
        <f>IF($Q$164&lt;301001,$J$165*$Q$184*(100-$K$178)/100,IF($Q$164&lt;=301003,"Nie oblicza się",$J$165*$Q$184*(100-$K$178)/100))</f>
        <v>0</v>
      </c>
      <c r="L184" s="16" t="s">
        <v>48</v>
      </c>
      <c r="O184" s="1">
        <f>VLOOKUP($O$164,$AO$146:$AU$188,3)</f>
        <v>0</v>
      </c>
      <c r="Q184" s="1">
        <f>VLOOKUP($Q$164,$AO$146:$AU$188,3)</f>
        <v>0</v>
      </c>
      <c r="S184" s="1">
        <v>3</v>
      </c>
      <c r="T184" s="1" t="str">
        <f>IF($Q$160&lt;=10100," ",IF($Q$160&lt;20101,$W$161,IF($Q$160&lt;=20222," ",IF($Q$160&lt;30101,$W$161,IF($Q$160&lt;=30222," ",IF($Q$160&lt;=40000,$T$163,IF($Q$160&lt;=62000,$T$165," ")))))))</f>
        <v xml:space="preserve"> </v>
      </c>
      <c r="AL184" s="354"/>
      <c r="AM184" s="345"/>
      <c r="AN184" s="16">
        <v>3</v>
      </c>
      <c r="AO184" s="16">
        <v>620003</v>
      </c>
      <c r="AP184" s="35">
        <v>1.4</v>
      </c>
      <c r="AQ184" s="35">
        <v>1345</v>
      </c>
      <c r="AR184" s="76"/>
      <c r="AS184" s="76"/>
      <c r="AT184" s="35">
        <v>190</v>
      </c>
      <c r="AU184" s="35">
        <v>10.1</v>
      </c>
      <c r="AV184" s="6"/>
      <c r="AW184" s="6"/>
      <c r="AX184" s="6"/>
      <c r="AY184" s="6"/>
      <c r="AZ184" s="6"/>
      <c r="BA184" s="6"/>
    </row>
    <row r="185" spans="2:57" ht="18.75" hidden="1" thickBot="1">
      <c r="B185" s="14" t="s">
        <v>47</v>
      </c>
      <c r="C185" s="14"/>
      <c r="D185" s="14"/>
      <c r="E185" s="188"/>
      <c r="G185" s="61" t="s">
        <v>48</v>
      </c>
      <c r="H185" s="63"/>
      <c r="I185" s="62" t="s">
        <v>47</v>
      </c>
      <c r="J185" s="188"/>
      <c r="K185" s="15" t="s">
        <v>179</v>
      </c>
      <c r="L185" s="16" t="s">
        <v>48</v>
      </c>
      <c r="O185" s="1">
        <f>VLOOKUP($O$164,$AO$146:$AU$188,5)</f>
        <v>0</v>
      </c>
      <c r="Q185" s="1">
        <f>VLOOKUP($Q$164,$AO$146:$AU$188,5)</f>
        <v>0</v>
      </c>
      <c r="S185" s="1">
        <v>4</v>
      </c>
      <c r="T185" s="1" t="str">
        <f>IF($Q$160&lt;=30222," ",IF($Q$160&lt;=40000,$T$164,IF($Q$160&lt;=62000,$T$166,IF($Q$160&lt;=20222," ",IF($Q$160=60000,$W$157," ")))))</f>
        <v xml:space="preserve"> </v>
      </c>
      <c r="AL185" s="355"/>
      <c r="AM185" s="346"/>
      <c r="AN185" s="115">
        <v>4</v>
      </c>
      <c r="AO185" s="115">
        <v>620004</v>
      </c>
      <c r="AP185" s="116">
        <v>1.4</v>
      </c>
      <c r="AQ185" s="116">
        <v>900</v>
      </c>
      <c r="AR185" s="117"/>
      <c r="AS185" s="117"/>
      <c r="AT185" s="116">
        <v>225</v>
      </c>
      <c r="AU185" s="116">
        <v>10.5</v>
      </c>
      <c r="AV185" s="6"/>
      <c r="AW185" s="6"/>
      <c r="AX185" s="6"/>
      <c r="AY185" s="6"/>
      <c r="AZ185" s="6"/>
      <c r="BA185" s="6"/>
    </row>
    <row r="186" spans="2:57" ht="15" hidden="1">
      <c r="B186" s="14" t="s">
        <v>43</v>
      </c>
      <c r="C186" s="14"/>
      <c r="D186" s="14"/>
      <c r="E186" s="188"/>
      <c r="G186" s="61" t="s">
        <v>48</v>
      </c>
      <c r="H186" s="63"/>
      <c r="I186" s="62" t="s">
        <v>43</v>
      </c>
      <c r="J186" s="188"/>
      <c r="K186" s="15">
        <f>IF($Q$164&lt;301001,$J$165*$Q$186*(100-$K$179)/100,IF($Q$164&lt;=301003,"Nie oblicza się",$J$165*$Q$186*(100-$K$179)/100))</f>
        <v>0</v>
      </c>
      <c r="L186" s="16" t="s">
        <v>48</v>
      </c>
      <c r="O186" s="1">
        <f>VLOOKUP($O$164,$AO$146:$AU$188,6)</f>
        <v>0</v>
      </c>
      <c r="Q186" s="1">
        <f>VLOOKUP($Q$164,$AO$146:$AU$188,6)</f>
        <v>0</v>
      </c>
      <c r="AM186" s="344" t="s">
        <v>177</v>
      </c>
      <c r="AN186" s="118">
        <v>1</v>
      </c>
      <c r="AO186" s="118">
        <v>701001</v>
      </c>
      <c r="AP186" s="119">
        <f>V202</f>
        <v>0.02</v>
      </c>
      <c r="AQ186" s="119">
        <f>V203</f>
        <v>0.8</v>
      </c>
      <c r="AR186" s="121"/>
      <c r="AS186" s="121">
        <f>V204</f>
        <v>0</v>
      </c>
      <c r="AT186" s="119">
        <f>V205</f>
        <v>11</v>
      </c>
      <c r="AU186" s="119">
        <f>V206</f>
        <v>2.5</v>
      </c>
      <c r="BA186" s="6"/>
    </row>
    <row r="187" spans="2:57" ht="15" hidden="1">
      <c r="B187" s="347" t="s">
        <v>44</v>
      </c>
      <c r="C187" s="349"/>
      <c r="D187" s="349"/>
      <c r="E187" s="348"/>
      <c r="G187" s="61" t="s">
        <v>48</v>
      </c>
      <c r="H187" s="63"/>
      <c r="I187" s="349" t="s">
        <v>44</v>
      </c>
      <c r="J187" s="348"/>
      <c r="K187" s="15">
        <f>IF($Q$164&lt;301001,$J$165*$Q$187*$J$171*(100-$K$180)/(100-$J$174),IF($Q$164&lt;=301003,"Nie oblicza się",IF($Q$164&lt;=302221,$J$165*$Q$187*$J$171*(100-$K$180)/(100-$J$174),IF($Q$164&lt;=701001,$J$165*$Q$187*(100-$K$180)/(100-$J$174),$J$165*$Q$187*$J$171*(100-$K$180)/(100-$J$174)))))</f>
        <v>0</v>
      </c>
      <c r="L187" s="16" t="s">
        <v>48</v>
      </c>
      <c r="O187" s="1">
        <f>VLOOKUP($O$164,$AO$146:$AU$188,7)</f>
        <v>0</v>
      </c>
      <c r="Q187" s="1">
        <f>VLOOKUP($Q$164,$AO$146:$AU$188,7)</f>
        <v>0</v>
      </c>
      <c r="AM187" s="345"/>
      <c r="AN187" s="16">
        <v>2</v>
      </c>
      <c r="AO187" s="16">
        <v>702001</v>
      </c>
      <c r="AP187" s="35">
        <f>S202</f>
        <v>0.11</v>
      </c>
      <c r="AQ187" s="35">
        <f>S203</f>
        <v>1</v>
      </c>
      <c r="AR187" s="76"/>
      <c r="AS187" s="76">
        <f>S204</f>
        <v>0</v>
      </c>
      <c r="AT187" s="35">
        <f>S205</f>
        <v>26</v>
      </c>
      <c r="AU187" s="35">
        <f>S206</f>
        <v>1.5</v>
      </c>
      <c r="AV187" s="6"/>
      <c r="AW187" s="6"/>
      <c r="AX187" s="6"/>
      <c r="AY187" s="6"/>
      <c r="AZ187" s="6"/>
      <c r="BA187" s="6"/>
    </row>
    <row r="188" spans="2:57" ht="15" hidden="1" thickBot="1">
      <c r="H188" s="63"/>
      <c r="AM188" s="346"/>
      <c r="AN188" s="115">
        <v>3</v>
      </c>
      <c r="AO188" s="115">
        <v>702002</v>
      </c>
      <c r="AP188" s="116">
        <f>U202</f>
        <v>0.11</v>
      </c>
      <c r="AQ188" s="116">
        <f>U203</f>
        <v>0.95</v>
      </c>
      <c r="AR188" s="117"/>
      <c r="AS188" s="117">
        <f>U204</f>
        <v>0</v>
      </c>
      <c r="AT188" s="116">
        <f>U205</f>
        <v>16</v>
      </c>
      <c r="AU188" s="116">
        <f>U206</f>
        <v>1.5</v>
      </c>
      <c r="BA188" s="6"/>
    </row>
    <row r="189" spans="2:57" ht="15" hidden="1">
      <c r="B189" s="350" t="s">
        <v>52</v>
      </c>
      <c r="C189" s="351"/>
      <c r="D189" s="351"/>
      <c r="E189" s="351"/>
      <c r="F189" s="351"/>
      <c r="G189" s="351"/>
      <c r="H189" s="351"/>
      <c r="I189" s="351"/>
      <c r="J189" s="351"/>
      <c r="K189" s="351"/>
      <c r="L189" s="352"/>
      <c r="AO189" s="2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</row>
    <row r="190" spans="2:57" ht="18" hidden="1">
      <c r="B190" s="64"/>
      <c r="C190" s="64"/>
      <c r="D190" s="64"/>
      <c r="E190" s="14" t="s">
        <v>45</v>
      </c>
      <c r="F190" s="188"/>
      <c r="H190" s="16" t="s">
        <v>48</v>
      </c>
      <c r="J190" s="2"/>
      <c r="K190" s="2"/>
      <c r="L190" s="65"/>
      <c r="AO190" s="2"/>
      <c r="AP190" s="78" t="s">
        <v>4</v>
      </c>
      <c r="AQ190" s="78" t="s">
        <v>5</v>
      </c>
      <c r="AR190" s="79" t="s">
        <v>5</v>
      </c>
      <c r="AS190" s="78" t="s">
        <v>6</v>
      </c>
      <c r="AT190" s="80" t="s">
        <v>7</v>
      </c>
      <c r="AU190" s="78" t="s">
        <v>8</v>
      </c>
      <c r="AV190" s="6"/>
      <c r="AW190" s="6"/>
      <c r="AX190" s="6"/>
      <c r="AY190" s="6"/>
      <c r="AZ190" s="6"/>
    </row>
    <row r="191" spans="2:57" ht="18" hidden="1">
      <c r="B191" s="64"/>
      <c r="C191" s="64"/>
      <c r="D191" s="64"/>
      <c r="E191" s="14" t="s">
        <v>46</v>
      </c>
      <c r="F191" s="188"/>
      <c r="H191" s="16" t="s">
        <v>48</v>
      </c>
      <c r="J191" s="2"/>
      <c r="K191" s="2"/>
      <c r="L191" s="65"/>
      <c r="AO191" s="2"/>
      <c r="AP191" s="6"/>
      <c r="AQ191" s="6"/>
      <c r="AR191" s="6"/>
      <c r="AS191" s="6"/>
      <c r="AT191" s="6"/>
      <c r="AU191" s="6"/>
    </row>
    <row r="192" spans="2:57" ht="18" hidden="1">
      <c r="B192" s="64"/>
      <c r="C192" s="64"/>
      <c r="D192" s="64"/>
      <c r="E192" s="14" t="s">
        <v>47</v>
      </c>
      <c r="F192" s="188"/>
      <c r="H192" s="16" t="s">
        <v>48</v>
      </c>
      <c r="J192" s="2"/>
      <c r="K192" s="2"/>
      <c r="L192" s="65"/>
      <c r="AO192" s="2"/>
      <c r="AP192" s="6"/>
      <c r="AQ192" s="6"/>
      <c r="AR192" s="6"/>
      <c r="AS192" s="6"/>
      <c r="AT192" s="6"/>
      <c r="AU192" s="6"/>
    </row>
    <row r="193" spans="2:47" ht="15" hidden="1">
      <c r="B193" s="64"/>
      <c r="C193" s="64"/>
      <c r="D193" s="64"/>
      <c r="E193" s="14" t="s">
        <v>43</v>
      </c>
      <c r="F193" s="188"/>
      <c r="H193" s="16" t="s">
        <v>48</v>
      </c>
      <c r="J193" s="2"/>
      <c r="K193" s="2"/>
      <c r="L193" s="65"/>
      <c r="AO193" s="2"/>
      <c r="AP193" s="6"/>
      <c r="AQ193" s="6"/>
      <c r="AR193" s="6"/>
      <c r="AS193" s="6"/>
      <c r="AT193" s="6"/>
      <c r="AU193" s="6"/>
    </row>
    <row r="194" spans="2:47" ht="15" hidden="1">
      <c r="B194" s="64"/>
      <c r="C194" s="64"/>
      <c r="D194" s="64"/>
      <c r="E194" s="347" t="s">
        <v>44</v>
      </c>
      <c r="F194" s="348"/>
      <c r="H194" s="16" t="s">
        <v>48</v>
      </c>
      <c r="J194" s="2"/>
      <c r="K194" s="2"/>
      <c r="L194" s="65"/>
      <c r="AO194" s="2"/>
      <c r="AP194" s="6"/>
      <c r="AQ194" s="6"/>
      <c r="AR194" s="6"/>
      <c r="AS194" s="6"/>
      <c r="AT194" s="6"/>
      <c r="AU194" s="6"/>
    </row>
    <row r="195" spans="2:47" hidden="1">
      <c r="B195" s="66"/>
      <c r="C195" s="67"/>
      <c r="D195" s="67"/>
      <c r="E195" s="67"/>
      <c r="F195" s="67"/>
      <c r="G195" s="67"/>
      <c r="H195" s="67"/>
      <c r="I195" s="67"/>
      <c r="J195" s="67"/>
      <c r="K195" s="67"/>
      <c r="L195" s="68"/>
      <c r="AO195" s="2"/>
      <c r="AP195" s="6"/>
      <c r="AQ195" s="6"/>
      <c r="AR195" s="6"/>
      <c r="AS195" s="6"/>
      <c r="AT195" s="6"/>
      <c r="AU195" s="6"/>
    </row>
    <row r="196" spans="2:47" hidden="1">
      <c r="AO196" s="2"/>
      <c r="AP196" s="6"/>
      <c r="AQ196" s="6"/>
      <c r="AR196" s="6"/>
      <c r="AS196" s="6"/>
      <c r="AT196" s="6"/>
      <c r="AU196" s="6"/>
    </row>
    <row r="197" spans="2:47" hidden="1">
      <c r="AO197" s="2"/>
      <c r="AP197" s="6"/>
      <c r="AQ197" s="6"/>
      <c r="AR197" s="6"/>
      <c r="AS197" s="6"/>
      <c r="AT197" s="6"/>
      <c r="AU197" s="6"/>
    </row>
    <row r="198" spans="2:47" hidden="1">
      <c r="B198" s="343" t="s">
        <v>220</v>
      </c>
      <c r="C198" s="343"/>
      <c r="D198" s="343"/>
      <c r="E198" s="343"/>
      <c r="F198" s="343"/>
      <c r="G198" s="343"/>
      <c r="AO198" s="2"/>
      <c r="AP198" s="6"/>
      <c r="AQ198" s="6"/>
      <c r="AR198" s="6"/>
      <c r="AS198" s="6"/>
      <c r="AT198" s="6"/>
      <c r="AU198" s="6"/>
    </row>
    <row r="199" spans="2:47" ht="15" hidden="1">
      <c r="B199" s="342"/>
      <c r="C199" s="342"/>
      <c r="D199" s="342"/>
      <c r="E199" s="342"/>
      <c r="F199" s="342"/>
      <c r="G199" s="342"/>
      <c r="Q199" s="72" t="s">
        <v>180</v>
      </c>
      <c r="AO199" s="2"/>
      <c r="AP199" s="6"/>
      <c r="AQ199" s="6"/>
      <c r="AR199" s="6"/>
      <c r="AS199" s="6"/>
      <c r="AT199" s="6"/>
      <c r="AU199" s="6"/>
    </row>
    <row r="200" spans="2:47" ht="15" hidden="1">
      <c r="Q200" s="72"/>
      <c r="S200" s="341" t="s">
        <v>9</v>
      </c>
      <c r="T200" s="341"/>
      <c r="U200" s="341"/>
      <c r="V200" s="341" t="s">
        <v>3</v>
      </c>
      <c r="W200" s="341"/>
      <c r="X200" s="341"/>
      <c r="AO200" s="2"/>
      <c r="AP200" s="6"/>
      <c r="AQ200" s="6"/>
      <c r="AR200" s="6"/>
      <c r="AS200" s="6"/>
      <c r="AT200" s="6"/>
      <c r="AU200" s="6"/>
    </row>
    <row r="201" spans="2:47" ht="15" hidden="1">
      <c r="B201" s="343" t="s">
        <v>221</v>
      </c>
      <c r="C201" s="343"/>
      <c r="D201" s="343"/>
      <c r="E201" s="343"/>
      <c r="F201" s="343"/>
      <c r="G201" s="343"/>
      <c r="Q201" s="72"/>
      <c r="S201" s="16" t="s">
        <v>181</v>
      </c>
      <c r="T201" s="16"/>
      <c r="U201" s="16" t="s">
        <v>182</v>
      </c>
      <c r="V201" s="341" t="s">
        <v>324</v>
      </c>
      <c r="W201" s="341"/>
      <c r="X201" s="341"/>
      <c r="AO201" s="2"/>
      <c r="AP201" s="6"/>
      <c r="AQ201" s="6"/>
      <c r="AR201" s="6"/>
      <c r="AS201" s="6"/>
      <c r="AT201" s="6"/>
      <c r="AU201" s="6"/>
    </row>
    <row r="202" spans="2:47" ht="18" hidden="1">
      <c r="B202" s="342"/>
      <c r="C202" s="342"/>
      <c r="D202" s="342"/>
      <c r="E202" s="342"/>
      <c r="F202" s="342"/>
      <c r="G202" s="342"/>
      <c r="Q202" s="14" t="s">
        <v>45</v>
      </c>
      <c r="R202" s="188"/>
      <c r="S202" s="254">
        <v>0.11</v>
      </c>
      <c r="T202" s="33"/>
      <c r="U202" s="33">
        <v>0.11</v>
      </c>
      <c r="V202" s="333">
        <v>0.02</v>
      </c>
      <c r="W202" s="334"/>
      <c r="X202" s="335"/>
      <c r="AO202" s="2"/>
      <c r="AP202" s="6"/>
      <c r="AQ202" s="6"/>
      <c r="AS202" s="6"/>
      <c r="AT202" s="6"/>
      <c r="AU202" s="6"/>
    </row>
    <row r="203" spans="2:47" ht="18" hidden="1">
      <c r="Q203" s="14" t="s">
        <v>46</v>
      </c>
      <c r="R203" s="188"/>
      <c r="S203" s="255">
        <v>1</v>
      </c>
      <c r="T203" s="16"/>
      <c r="U203" s="16">
        <v>0.95</v>
      </c>
      <c r="V203" s="333">
        <v>0.8</v>
      </c>
      <c r="W203" s="334"/>
      <c r="X203" s="335"/>
      <c r="AO203" s="2"/>
      <c r="AP203" s="6"/>
      <c r="AQ203" s="6"/>
      <c r="AR203" s="6"/>
      <c r="AS203" s="6"/>
      <c r="AT203" s="6"/>
      <c r="AU203" s="6"/>
    </row>
    <row r="204" spans="2:47" ht="18" hidden="1">
      <c r="B204" s="343" t="s">
        <v>222</v>
      </c>
      <c r="C204" s="343"/>
      <c r="D204" s="343"/>
      <c r="E204" s="343"/>
      <c r="Q204" s="14" t="s">
        <v>47</v>
      </c>
      <c r="R204" s="188"/>
      <c r="S204" s="255">
        <v>0</v>
      </c>
      <c r="T204" s="16"/>
      <c r="U204" s="16">
        <v>0</v>
      </c>
      <c r="V204" s="333">
        <v>0</v>
      </c>
      <c r="W204" s="334"/>
      <c r="X204" s="335"/>
      <c r="AO204" s="2"/>
      <c r="AP204" s="6"/>
      <c r="AQ204" s="6"/>
      <c r="AR204" s="6"/>
      <c r="AS204" s="6"/>
      <c r="AT204" s="6"/>
      <c r="AU204" s="6"/>
    </row>
    <row r="205" spans="2:47" ht="15" hidden="1">
      <c r="B205" s="342"/>
      <c r="C205" s="342"/>
      <c r="D205" s="342"/>
      <c r="E205" s="342"/>
      <c r="F205" s="342"/>
      <c r="G205" s="342"/>
      <c r="Q205" s="14" t="s">
        <v>43</v>
      </c>
      <c r="R205" s="188"/>
      <c r="S205" s="255">
        <v>26</v>
      </c>
      <c r="T205" s="16"/>
      <c r="U205" s="16">
        <v>16</v>
      </c>
      <c r="V205" s="333">
        <v>11</v>
      </c>
      <c r="W205" s="334"/>
      <c r="X205" s="335"/>
      <c r="AO205" s="2"/>
      <c r="AP205" s="6"/>
      <c r="AQ205" s="6"/>
      <c r="AR205" s="6"/>
      <c r="AS205" s="6"/>
      <c r="AT205" s="6"/>
      <c r="AU205" s="6"/>
    </row>
    <row r="206" spans="2:47" ht="15" hidden="1">
      <c r="Q206" s="331" t="s">
        <v>44</v>
      </c>
      <c r="R206" s="332"/>
      <c r="S206" s="255">
        <v>1.5</v>
      </c>
      <c r="T206" s="16"/>
      <c r="U206" s="16">
        <v>1.5</v>
      </c>
      <c r="V206" s="333">
        <v>2.5</v>
      </c>
      <c r="W206" s="334"/>
      <c r="X206" s="335"/>
      <c r="AO206" s="2"/>
      <c r="AP206" s="6"/>
      <c r="AQ206" s="6"/>
      <c r="AR206" s="6"/>
      <c r="AS206" s="6"/>
      <c r="AT206" s="6"/>
      <c r="AU206" s="6"/>
    </row>
    <row r="207" spans="2:47" ht="15" hidden="1">
      <c r="Q207" s="72" t="s">
        <v>143</v>
      </c>
      <c r="AO207" s="2"/>
      <c r="AP207" s="6"/>
      <c r="AQ207" s="6"/>
      <c r="AR207" s="6"/>
      <c r="AS207" s="6"/>
      <c r="AT207" s="6"/>
      <c r="AU207" s="6"/>
    </row>
    <row r="208" spans="2:47" hidden="1">
      <c r="AO208" s="2"/>
      <c r="AP208" s="6"/>
      <c r="AQ208" s="6"/>
      <c r="AR208" s="6"/>
      <c r="AS208" s="6"/>
      <c r="AT208" s="6"/>
      <c r="AU208" s="6"/>
    </row>
    <row r="209" spans="17:47" ht="15" hidden="1">
      <c r="Q209" s="72"/>
      <c r="S209" s="341" t="s">
        <v>9</v>
      </c>
      <c r="T209" s="341"/>
      <c r="U209" s="341"/>
      <c r="V209" s="341" t="s">
        <v>3</v>
      </c>
      <c r="W209" s="341"/>
      <c r="X209" s="341"/>
      <c r="AO209" s="2"/>
      <c r="AP209" s="6"/>
      <c r="AQ209" s="6"/>
      <c r="AR209" s="6"/>
      <c r="AS209" s="6"/>
      <c r="AT209" s="6"/>
      <c r="AU209" s="6"/>
    </row>
    <row r="210" spans="17:47" ht="15" hidden="1">
      <c r="Q210" s="72"/>
      <c r="S210" s="16" t="s">
        <v>181</v>
      </c>
      <c r="T210" s="16"/>
      <c r="U210" s="16" t="s">
        <v>182</v>
      </c>
      <c r="V210" s="341" t="s">
        <v>324</v>
      </c>
      <c r="W210" s="341"/>
      <c r="X210" s="341"/>
      <c r="AO210" s="2"/>
      <c r="AP210" s="6"/>
      <c r="AQ210" s="6"/>
      <c r="AR210" s="6"/>
      <c r="AS210" s="6"/>
      <c r="AT210" s="6"/>
      <c r="AU210" s="6"/>
    </row>
    <row r="211" spans="17:47" ht="18" hidden="1">
      <c r="Q211" s="14" t="s">
        <v>45</v>
      </c>
      <c r="R211" s="188"/>
      <c r="S211" s="254">
        <v>0.11</v>
      </c>
      <c r="T211" s="33"/>
      <c r="U211" s="33">
        <v>0.11</v>
      </c>
      <c r="V211" s="333">
        <v>0.02</v>
      </c>
      <c r="W211" s="334"/>
      <c r="X211" s="335"/>
      <c r="AO211" s="2"/>
      <c r="AP211" s="6"/>
      <c r="AQ211" s="6"/>
      <c r="AR211" s="6"/>
      <c r="AS211" s="6"/>
      <c r="AT211" s="6"/>
      <c r="AU211" s="6"/>
    </row>
    <row r="212" spans="17:47" ht="18" hidden="1">
      <c r="Q212" s="14" t="s">
        <v>46</v>
      </c>
      <c r="R212" s="188"/>
      <c r="S212" s="255">
        <v>1</v>
      </c>
      <c r="T212" s="16"/>
      <c r="U212" s="16">
        <v>0.95</v>
      </c>
      <c r="V212" s="333">
        <v>0.8</v>
      </c>
      <c r="W212" s="334"/>
      <c r="X212" s="335"/>
      <c r="AO212" s="2"/>
      <c r="AP212" s="6"/>
      <c r="AQ212" s="6"/>
      <c r="AR212" s="6"/>
      <c r="AS212" s="6"/>
      <c r="AT212" s="6"/>
      <c r="AU212" s="6"/>
    </row>
    <row r="213" spans="17:47" ht="18" hidden="1">
      <c r="Q213" s="14" t="s">
        <v>47</v>
      </c>
      <c r="R213" s="188"/>
      <c r="S213" s="255">
        <v>0</v>
      </c>
      <c r="T213" s="16"/>
      <c r="U213" s="16">
        <v>0</v>
      </c>
      <c r="V213" s="333">
        <v>0</v>
      </c>
      <c r="W213" s="334"/>
      <c r="X213" s="335"/>
      <c r="AO213" s="2"/>
      <c r="AP213" s="6"/>
      <c r="AQ213" s="6"/>
      <c r="AR213" s="6"/>
      <c r="AS213" s="6"/>
      <c r="AT213" s="6"/>
      <c r="AU213" s="6"/>
    </row>
    <row r="214" spans="17:47" ht="15" hidden="1">
      <c r="Q214" s="14" t="s">
        <v>43</v>
      </c>
      <c r="R214" s="188"/>
      <c r="S214" s="255">
        <v>26</v>
      </c>
      <c r="T214" s="16"/>
      <c r="U214" s="16">
        <v>16</v>
      </c>
      <c r="V214" s="333">
        <v>11</v>
      </c>
      <c r="W214" s="334"/>
      <c r="X214" s="335"/>
      <c r="AO214" s="2"/>
      <c r="AP214" s="6"/>
      <c r="AQ214" s="6"/>
      <c r="AR214" s="6"/>
      <c r="AS214" s="6"/>
      <c r="AT214" s="6"/>
      <c r="AU214" s="6"/>
    </row>
    <row r="215" spans="17:47" ht="15" hidden="1">
      <c r="Q215" s="331" t="s">
        <v>44</v>
      </c>
      <c r="R215" s="332"/>
      <c r="S215" s="255">
        <v>1.5</v>
      </c>
      <c r="T215" s="16"/>
      <c r="U215" s="16">
        <v>1.5</v>
      </c>
      <c r="V215" s="333">
        <v>2.5</v>
      </c>
      <c r="W215" s="334"/>
      <c r="X215" s="335"/>
      <c r="AO215" s="2"/>
      <c r="AP215" s="6"/>
      <c r="AQ215" s="6"/>
      <c r="AR215" s="6"/>
      <c r="AS215" s="6"/>
      <c r="AT215" s="6"/>
      <c r="AU215" s="6"/>
    </row>
    <row r="216" spans="17:47" hidden="1">
      <c r="AO216" s="2"/>
      <c r="AP216" s="6"/>
      <c r="AQ216" s="6"/>
      <c r="AR216" s="6"/>
      <c r="AS216" s="6"/>
      <c r="AT216" s="6"/>
      <c r="AU216" s="6"/>
    </row>
    <row r="217" spans="17:47" hidden="1">
      <c r="AO217" s="2"/>
      <c r="AP217" s="6"/>
      <c r="AQ217" s="6"/>
      <c r="AR217" s="6"/>
      <c r="AS217" s="6"/>
      <c r="AT217" s="6"/>
      <c r="AU217" s="6"/>
    </row>
    <row r="218" spans="17:47" hidden="1">
      <c r="AO218" s="2"/>
      <c r="AP218" s="6"/>
      <c r="AQ218" s="6"/>
      <c r="AR218" s="6"/>
      <c r="AS218" s="6"/>
      <c r="AT218" s="6"/>
      <c r="AU218" s="6"/>
    </row>
    <row r="219" spans="17:47" hidden="1">
      <c r="AO219" s="2"/>
      <c r="AP219" s="6"/>
      <c r="AQ219" s="6"/>
      <c r="AR219" s="6"/>
      <c r="AS219" s="6"/>
      <c r="AT219" s="6"/>
      <c r="AU219" s="6"/>
    </row>
    <row r="220" spans="17:47" hidden="1">
      <c r="AO220" s="2"/>
      <c r="AP220" s="6"/>
      <c r="AQ220" s="6"/>
      <c r="AR220" s="6"/>
      <c r="AS220" s="6"/>
      <c r="AT220" s="6"/>
      <c r="AU220" s="6"/>
    </row>
    <row r="221" spans="17:47" hidden="1">
      <c r="AO221" s="2"/>
      <c r="AP221" s="6"/>
      <c r="AQ221" s="6"/>
      <c r="AR221" s="6"/>
      <c r="AS221" s="6"/>
      <c r="AT221" s="6"/>
      <c r="AU221" s="6"/>
    </row>
    <row r="222" spans="17:47" hidden="1"/>
    <row r="223" spans="17:47" hidden="1"/>
    <row r="224" spans="17:47" hidden="1"/>
    <row r="225" spans="1:27" hidden="1"/>
    <row r="226" spans="1:27" hidden="1"/>
    <row r="227" spans="1:27" hidden="1"/>
    <row r="228" spans="1:27" hidden="1"/>
    <row r="229" spans="1:27" hidden="1"/>
    <row r="230" spans="1:27" hidden="1"/>
    <row r="231" spans="1:27" ht="14.25" hidden="1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336" t="s">
        <v>135</v>
      </c>
      <c r="K231" s="336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15" hidden="1">
      <c r="A232" s="17"/>
      <c r="B232" s="17"/>
      <c r="C232" s="17"/>
      <c r="D232" s="17"/>
      <c r="E232" s="17"/>
      <c r="F232" s="17"/>
      <c r="G232" s="17"/>
      <c r="H232" s="17"/>
      <c r="I232" s="17"/>
      <c r="J232" s="20" t="s">
        <v>136</v>
      </c>
      <c r="K232" s="20" t="s">
        <v>137</v>
      </c>
      <c r="L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 t="s">
        <v>252</v>
      </c>
      <c r="X232" s="17" t="s">
        <v>252</v>
      </c>
      <c r="Y232" s="17" t="s">
        <v>253</v>
      </c>
      <c r="Z232" s="17"/>
      <c r="AA232" s="17"/>
    </row>
    <row r="233" spans="1:27" ht="16.5" hidden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" t="s">
        <v>86</v>
      </c>
      <c r="X233" s="1" t="s">
        <v>258</v>
      </c>
      <c r="Y233" s="1" t="s">
        <v>82</v>
      </c>
      <c r="Z233" s="17"/>
      <c r="AA233" s="17"/>
    </row>
    <row r="234" spans="1:27" hidden="1">
      <c r="A234" s="6">
        <v>1</v>
      </c>
      <c r="B234" s="7" t="s">
        <v>134</v>
      </c>
      <c r="C234" s="7"/>
      <c r="D234" s="7"/>
      <c r="F234" s="17"/>
      <c r="G234" s="73" t="s">
        <v>254</v>
      </c>
      <c r="H234" s="17"/>
      <c r="I234" s="17"/>
      <c r="J234" s="17" t="s">
        <v>343</v>
      </c>
      <c r="K234" s="17" t="s">
        <v>343</v>
      </c>
      <c r="L234" s="17"/>
      <c r="M234" s="17"/>
      <c r="N234" s="17"/>
      <c r="O234" s="17"/>
      <c r="P234" s="17"/>
      <c r="Q234" s="17"/>
      <c r="R234" s="17"/>
      <c r="S234" s="17"/>
      <c r="T234" s="17"/>
      <c r="U234" s="17">
        <v>100</v>
      </c>
      <c r="V234" s="17" t="s">
        <v>139</v>
      </c>
      <c r="W234" s="17">
        <v>0</v>
      </c>
      <c r="X234" s="17">
        <v>0</v>
      </c>
      <c r="Y234" s="17">
        <v>0</v>
      </c>
      <c r="Z234" s="17"/>
      <c r="AA234" s="17"/>
    </row>
    <row r="235" spans="1:27" hidden="1">
      <c r="A235" s="6">
        <v>2</v>
      </c>
      <c r="B235" s="7" t="s">
        <v>163</v>
      </c>
      <c r="C235" s="7"/>
      <c r="D235" s="7"/>
      <c r="F235" s="17"/>
      <c r="G235" s="156">
        <v>860</v>
      </c>
      <c r="H235" s="17"/>
      <c r="I235" s="17"/>
      <c r="J235" s="21" t="s">
        <v>114</v>
      </c>
      <c r="K235" s="19">
        <v>1</v>
      </c>
      <c r="L235" s="17">
        <v>0</v>
      </c>
      <c r="M235" s="18" t="s">
        <v>113</v>
      </c>
      <c r="N235" s="17"/>
      <c r="O235" s="18" t="s">
        <v>112</v>
      </c>
      <c r="P235" s="17"/>
      <c r="Q235" s="21" t="s">
        <v>56</v>
      </c>
      <c r="R235" s="17"/>
      <c r="S235" s="17">
        <v>1</v>
      </c>
      <c r="T235" s="17"/>
      <c r="U235" s="22"/>
      <c r="V235" s="21"/>
      <c r="W235" s="23"/>
      <c r="X235" s="23"/>
      <c r="Y235" s="23"/>
      <c r="Z235" s="17"/>
      <c r="AA235" s="17"/>
    </row>
    <row r="236" spans="1:27" hidden="1">
      <c r="A236" s="6">
        <v>3</v>
      </c>
      <c r="B236" s="7" t="s">
        <v>18</v>
      </c>
      <c r="C236" s="7"/>
      <c r="D236" s="7"/>
      <c r="F236" s="17"/>
      <c r="G236" s="17"/>
      <c r="H236" s="17"/>
      <c r="I236" s="17"/>
      <c r="J236" s="21" t="s">
        <v>111</v>
      </c>
      <c r="K236" s="19">
        <v>2</v>
      </c>
      <c r="L236" s="17">
        <v>0</v>
      </c>
      <c r="M236" s="18" t="s">
        <v>110</v>
      </c>
      <c r="N236" s="17"/>
      <c r="O236" s="18" t="s">
        <v>109</v>
      </c>
      <c r="P236" s="17"/>
      <c r="Q236" s="21" t="s">
        <v>55</v>
      </c>
      <c r="R236" s="17"/>
      <c r="S236" s="17">
        <v>2</v>
      </c>
      <c r="T236" s="17"/>
      <c r="U236" s="22"/>
      <c r="V236" s="21"/>
      <c r="W236" s="23"/>
      <c r="X236" s="23"/>
      <c r="Y236" s="23"/>
      <c r="Z236" s="17"/>
      <c r="AA236" s="17"/>
    </row>
    <row r="237" spans="1:27" hidden="1">
      <c r="A237" s="6">
        <v>4</v>
      </c>
      <c r="B237" s="7" t="s">
        <v>164</v>
      </c>
      <c r="C237" s="7"/>
      <c r="D237" s="7"/>
      <c r="F237" s="17"/>
      <c r="G237" s="17"/>
      <c r="H237" s="17"/>
      <c r="I237" s="17"/>
      <c r="J237" s="21" t="s">
        <v>108</v>
      </c>
      <c r="K237" s="19">
        <v>3</v>
      </c>
      <c r="L237" s="17"/>
      <c r="M237" s="18" t="s">
        <v>107</v>
      </c>
      <c r="N237" s="17"/>
      <c r="O237" s="18" t="s">
        <v>106</v>
      </c>
      <c r="P237" s="17"/>
      <c r="Q237" s="21" t="s">
        <v>88</v>
      </c>
      <c r="R237" s="17"/>
      <c r="S237" s="17">
        <v>1</v>
      </c>
      <c r="T237" s="17"/>
      <c r="U237" s="22"/>
      <c r="V237" s="21"/>
      <c r="W237" s="23"/>
      <c r="X237" s="23"/>
      <c r="Y237" s="23"/>
      <c r="Z237" s="17"/>
      <c r="AA237" s="17"/>
    </row>
    <row r="238" spans="1:27" hidden="1">
      <c r="A238" s="6">
        <v>5</v>
      </c>
      <c r="B238" s="7" t="s">
        <v>168</v>
      </c>
      <c r="C238" s="7"/>
      <c r="D238" s="7"/>
      <c r="F238" s="17"/>
      <c r="G238" s="17"/>
      <c r="H238" s="17"/>
      <c r="I238" s="17"/>
      <c r="J238" s="21" t="s">
        <v>105</v>
      </c>
      <c r="K238" s="19">
        <v>4</v>
      </c>
      <c r="L238" s="17"/>
      <c r="M238" s="18" t="s">
        <v>104</v>
      </c>
      <c r="N238" s="17"/>
      <c r="O238" s="18" t="s">
        <v>103</v>
      </c>
      <c r="P238" s="17"/>
      <c r="Q238" s="21" t="s">
        <v>87</v>
      </c>
      <c r="R238" s="17"/>
      <c r="S238" s="17">
        <v>2</v>
      </c>
      <c r="T238" s="17"/>
      <c r="U238" s="22"/>
      <c r="V238" s="21"/>
      <c r="W238" s="23"/>
      <c r="X238" s="23"/>
      <c r="Y238" s="23"/>
      <c r="Z238" s="17"/>
      <c r="AA238" s="17"/>
    </row>
    <row r="239" spans="1:27" hidden="1">
      <c r="A239" s="6">
        <v>6</v>
      </c>
      <c r="B239" s="7" t="s">
        <v>169</v>
      </c>
      <c r="C239" s="7"/>
      <c r="D239" s="7"/>
      <c r="F239" s="17"/>
      <c r="G239" s="17"/>
      <c r="H239" s="17"/>
      <c r="I239" s="17"/>
      <c r="J239" s="21" t="s">
        <v>146</v>
      </c>
      <c r="K239" s="19">
        <v>5</v>
      </c>
      <c r="L239" s="17"/>
      <c r="M239" s="18" t="s">
        <v>249</v>
      </c>
      <c r="N239" s="17"/>
      <c r="O239" s="18" t="s">
        <v>102</v>
      </c>
      <c r="P239" s="17"/>
      <c r="Q239" s="21" t="s">
        <v>85</v>
      </c>
      <c r="R239" s="17"/>
      <c r="S239" s="17">
        <v>3</v>
      </c>
      <c r="T239" s="17"/>
      <c r="U239" s="22"/>
      <c r="V239" s="21"/>
      <c r="W239" s="23"/>
      <c r="X239" s="23"/>
      <c r="Y239" s="23"/>
      <c r="Z239" s="17"/>
      <c r="AA239" s="17"/>
    </row>
    <row r="240" spans="1:27" hidden="1">
      <c r="A240" s="6">
        <v>7</v>
      </c>
      <c r="B240" s="7" t="s">
        <v>165</v>
      </c>
      <c r="C240" s="7"/>
      <c r="D240" s="7"/>
      <c r="F240" s="17"/>
      <c r="G240" s="17"/>
      <c r="H240" s="17"/>
      <c r="I240" s="17"/>
      <c r="J240" s="21" t="s">
        <v>147</v>
      </c>
      <c r="K240" s="19">
        <v>6</v>
      </c>
      <c r="L240" s="17"/>
      <c r="M240" s="18" t="s">
        <v>152</v>
      </c>
      <c r="N240" s="17"/>
      <c r="O240" s="18" t="s">
        <v>101</v>
      </c>
      <c r="P240" s="17"/>
      <c r="Q240" s="21" t="s">
        <v>84</v>
      </c>
      <c r="R240" s="17"/>
      <c r="S240" s="17">
        <v>1</v>
      </c>
      <c r="T240" s="17"/>
      <c r="U240" s="22"/>
      <c r="V240" s="21"/>
      <c r="W240" s="23"/>
      <c r="X240" s="23"/>
      <c r="Y240" s="23"/>
      <c r="Z240" s="17"/>
      <c r="AA240" s="17"/>
    </row>
    <row r="241" spans="1:27" hidden="1">
      <c r="A241" s="207">
        <v>8</v>
      </c>
      <c r="B241" s="7" t="s">
        <v>342</v>
      </c>
      <c r="C241" s="7"/>
      <c r="D241" s="7"/>
      <c r="E241" s="17"/>
      <c r="F241" s="17"/>
      <c r="G241" s="17"/>
      <c r="H241" s="17"/>
      <c r="I241" s="17"/>
      <c r="J241" s="21" t="s">
        <v>148</v>
      </c>
      <c r="K241" s="19">
        <v>7</v>
      </c>
      <c r="L241" s="17"/>
      <c r="M241" s="18" t="s">
        <v>153</v>
      </c>
      <c r="N241" s="17"/>
      <c r="O241" s="18" t="s">
        <v>100</v>
      </c>
      <c r="P241" s="17"/>
      <c r="Q241" s="21" t="s">
        <v>83</v>
      </c>
      <c r="R241" s="17"/>
      <c r="S241" s="17">
        <v>2</v>
      </c>
      <c r="T241" s="17"/>
      <c r="U241" s="22"/>
      <c r="V241" s="21"/>
      <c r="W241" s="23"/>
      <c r="X241" s="23"/>
      <c r="Y241" s="23"/>
      <c r="Z241" s="17"/>
      <c r="AA241" s="17"/>
    </row>
    <row r="242" spans="1:27" hidden="1">
      <c r="A242" s="207">
        <v>9</v>
      </c>
      <c r="B242" s="7" t="s">
        <v>377</v>
      </c>
      <c r="C242" s="7"/>
      <c r="D242" s="7"/>
      <c r="E242" s="17"/>
      <c r="F242" s="17"/>
      <c r="G242" s="17"/>
      <c r="H242" s="17"/>
      <c r="I242" s="17"/>
      <c r="J242" s="21" t="s">
        <v>149</v>
      </c>
      <c r="K242" s="19">
        <v>8</v>
      </c>
      <c r="L242" s="17"/>
      <c r="M242" s="18" t="s">
        <v>154</v>
      </c>
      <c r="N242" s="17"/>
      <c r="O242" s="18" t="s">
        <v>99</v>
      </c>
      <c r="P242" s="17"/>
      <c r="Q242" s="21" t="s">
        <v>81</v>
      </c>
      <c r="R242" s="17"/>
      <c r="S242" s="17">
        <v>3</v>
      </c>
      <c r="T242" s="17"/>
      <c r="U242" s="22"/>
      <c r="V242" s="21"/>
      <c r="W242" s="23"/>
      <c r="X242" s="23"/>
      <c r="Y242" s="23"/>
      <c r="Z242" s="17"/>
      <c r="AA242" s="17"/>
    </row>
    <row r="243" spans="1:27" hidden="1">
      <c r="A243" s="17"/>
      <c r="B243" s="17"/>
      <c r="C243" s="17"/>
      <c r="D243" s="17"/>
      <c r="E243" s="17"/>
      <c r="F243" s="17"/>
      <c r="G243" s="17"/>
      <c r="H243" s="17"/>
      <c r="I243" s="17"/>
      <c r="J243" s="21" t="s">
        <v>98</v>
      </c>
      <c r="K243" s="19">
        <v>9</v>
      </c>
      <c r="L243" s="17"/>
      <c r="M243" s="18" t="s">
        <v>155</v>
      </c>
      <c r="N243" s="17"/>
      <c r="O243" s="18" t="s">
        <v>97</v>
      </c>
      <c r="P243" s="17"/>
      <c r="Q243" s="21" t="s">
        <v>80</v>
      </c>
      <c r="R243" s="17"/>
      <c r="S243" s="17">
        <v>4</v>
      </c>
      <c r="T243" s="17"/>
      <c r="U243" s="22"/>
      <c r="V243" s="21"/>
      <c r="W243" s="23"/>
      <c r="X243" s="23"/>
      <c r="Y243" s="23"/>
      <c r="Z243" s="17"/>
      <c r="AA243" s="17"/>
    </row>
    <row r="244" spans="1:27" hidden="1">
      <c r="A244" s="17"/>
      <c r="B244" s="17"/>
      <c r="C244" s="17"/>
      <c r="D244" s="17"/>
      <c r="E244" s="17"/>
      <c r="F244" s="17"/>
      <c r="G244" s="17"/>
      <c r="H244" s="17"/>
      <c r="I244" s="17"/>
      <c r="J244" s="21" t="s">
        <v>311</v>
      </c>
      <c r="K244" s="19">
        <v>10</v>
      </c>
      <c r="L244" s="17"/>
      <c r="M244" s="18" t="s">
        <v>310</v>
      </c>
      <c r="N244" s="17"/>
      <c r="O244" s="18" t="s">
        <v>96</v>
      </c>
      <c r="P244" s="17"/>
      <c r="Q244" s="21"/>
      <c r="R244" s="17"/>
      <c r="S244" s="17"/>
      <c r="T244" s="17"/>
      <c r="U244" s="22"/>
      <c r="V244" s="21"/>
      <c r="W244" s="23"/>
      <c r="X244" s="23"/>
      <c r="Y244" s="23"/>
      <c r="Z244" s="17"/>
      <c r="AA244" s="17"/>
    </row>
    <row r="245" spans="1:27" hidden="1">
      <c r="A245" s="17"/>
      <c r="B245" s="17"/>
      <c r="C245" s="17"/>
      <c r="D245" s="17"/>
      <c r="E245" s="17"/>
      <c r="F245" s="17"/>
      <c r="G245" s="17"/>
      <c r="H245" s="17"/>
      <c r="I245" s="17"/>
      <c r="J245" s="21" t="s">
        <v>150</v>
      </c>
      <c r="K245" s="19">
        <v>11</v>
      </c>
      <c r="L245" s="17"/>
      <c r="M245" s="18" t="s">
        <v>313</v>
      </c>
      <c r="N245" s="17"/>
      <c r="O245" s="18" t="s">
        <v>95</v>
      </c>
      <c r="P245" s="17"/>
      <c r="Q245" s="21" t="s">
        <v>157</v>
      </c>
      <c r="R245" s="17"/>
      <c r="S245" s="17">
        <v>4</v>
      </c>
      <c r="T245" s="17"/>
      <c r="U245" s="22"/>
      <c r="V245" s="21"/>
      <c r="W245" s="23"/>
      <c r="X245" s="23"/>
      <c r="Y245" s="23"/>
      <c r="Z245" s="17"/>
      <c r="AA245" s="17"/>
    </row>
    <row r="246" spans="1:27" hidden="1">
      <c r="A246" s="17"/>
      <c r="B246" s="17"/>
      <c r="C246" s="17"/>
      <c r="D246" s="17"/>
      <c r="E246" s="17"/>
      <c r="F246" s="17"/>
      <c r="G246" s="17"/>
      <c r="H246" s="17"/>
      <c r="I246" s="17"/>
      <c r="J246" s="21" t="s">
        <v>151</v>
      </c>
      <c r="K246" s="19">
        <v>12</v>
      </c>
      <c r="L246" s="17"/>
      <c r="M246" s="18" t="s">
        <v>314</v>
      </c>
      <c r="N246" s="17"/>
      <c r="O246" s="18" t="s">
        <v>93</v>
      </c>
      <c r="P246" s="17"/>
      <c r="Q246" s="21" t="s">
        <v>79</v>
      </c>
      <c r="R246" s="17"/>
      <c r="S246" s="17">
        <v>5</v>
      </c>
      <c r="T246" s="17"/>
      <c r="U246" s="22"/>
      <c r="V246" s="21"/>
      <c r="W246" s="23"/>
      <c r="X246" s="23"/>
      <c r="Y246" s="23"/>
      <c r="Z246" s="17"/>
      <c r="AA246" s="17"/>
    </row>
    <row r="247" spans="1:27" hidden="1">
      <c r="A247" s="17"/>
      <c r="B247" s="17"/>
      <c r="C247" s="17"/>
      <c r="D247" s="17"/>
      <c r="E247" s="17"/>
      <c r="F247" s="17"/>
      <c r="G247" s="17"/>
      <c r="H247" s="17"/>
      <c r="I247" s="17"/>
      <c r="J247" s="21" t="s">
        <v>94</v>
      </c>
      <c r="K247" s="19">
        <v>13</v>
      </c>
      <c r="L247" s="17"/>
      <c r="M247" s="18" t="s">
        <v>315</v>
      </c>
      <c r="N247" s="17"/>
      <c r="O247" s="18" t="s">
        <v>91</v>
      </c>
      <c r="P247" s="17"/>
      <c r="Q247" s="21" t="s">
        <v>78</v>
      </c>
      <c r="R247" s="17"/>
      <c r="S247" s="17">
        <v>6</v>
      </c>
      <c r="T247" s="17"/>
      <c r="U247" s="22"/>
      <c r="V247" s="21"/>
      <c r="W247" s="23"/>
      <c r="X247" s="23"/>
      <c r="Y247" s="23"/>
      <c r="Z247" s="17"/>
      <c r="AA247" s="17"/>
    </row>
    <row r="248" spans="1:27" hidden="1">
      <c r="A248" s="17"/>
      <c r="B248" s="17"/>
      <c r="C248" s="17"/>
      <c r="D248" s="17"/>
      <c r="E248" s="17"/>
      <c r="F248" s="17"/>
      <c r="G248" s="17"/>
      <c r="H248" s="17"/>
      <c r="I248" s="17"/>
      <c r="J248" s="21"/>
      <c r="K248" s="19">
        <v>14</v>
      </c>
      <c r="L248" s="17"/>
      <c r="M248" s="18" t="s">
        <v>349</v>
      </c>
      <c r="N248" s="17"/>
      <c r="O248" s="18" t="s">
        <v>89</v>
      </c>
      <c r="P248" s="17"/>
      <c r="Q248" s="21"/>
      <c r="R248" s="17"/>
      <c r="S248" s="17"/>
      <c r="T248" s="17"/>
      <c r="U248" s="22"/>
      <c r="V248" s="21"/>
      <c r="W248" s="23"/>
      <c r="X248" s="23"/>
      <c r="Y248" s="23"/>
      <c r="Z248" s="17"/>
      <c r="AA248" s="17"/>
    </row>
    <row r="249" spans="1:27" hidden="1">
      <c r="A249" s="17"/>
      <c r="B249" s="17"/>
      <c r="C249" s="17"/>
      <c r="D249" s="17"/>
      <c r="E249" s="17"/>
      <c r="F249" s="17"/>
      <c r="G249" s="17"/>
      <c r="H249" s="17"/>
      <c r="I249" s="17"/>
      <c r="J249" s="21"/>
      <c r="K249" s="19">
        <v>15</v>
      </c>
      <c r="L249" s="17"/>
      <c r="M249" s="18" t="s">
        <v>350</v>
      </c>
      <c r="N249" s="17"/>
      <c r="O249" s="18" t="s">
        <v>312</v>
      </c>
      <c r="P249" s="17"/>
      <c r="Q249" s="21"/>
      <c r="R249" s="17"/>
      <c r="S249" s="17"/>
      <c r="T249" s="17"/>
      <c r="U249" s="22"/>
      <c r="V249" s="21"/>
      <c r="W249" s="23"/>
      <c r="X249" s="23"/>
      <c r="Y249" s="23"/>
      <c r="Z249" s="17"/>
      <c r="AA249" s="17"/>
    </row>
    <row r="250" spans="1:27" hidden="1">
      <c r="A250" s="17"/>
      <c r="B250" s="17"/>
      <c r="C250" s="17"/>
      <c r="D250" s="17"/>
      <c r="E250" s="17"/>
      <c r="F250" s="17"/>
      <c r="G250" s="17"/>
      <c r="H250" s="17"/>
      <c r="I250" s="17"/>
      <c r="J250" s="21" t="s">
        <v>92</v>
      </c>
      <c r="K250" s="19">
        <v>16</v>
      </c>
      <c r="L250" s="17"/>
      <c r="M250" s="18" t="s">
        <v>345</v>
      </c>
      <c r="N250" s="17"/>
      <c r="O250" s="18" t="s">
        <v>347</v>
      </c>
      <c r="P250" s="17"/>
      <c r="Q250" s="21" t="s">
        <v>156</v>
      </c>
      <c r="R250" s="17"/>
      <c r="S250" s="17">
        <v>7</v>
      </c>
      <c r="T250" s="17"/>
      <c r="U250" s="22"/>
      <c r="V250" s="21"/>
      <c r="W250" s="23"/>
      <c r="X250" s="23"/>
      <c r="Y250" s="23"/>
      <c r="Z250" s="17"/>
      <c r="AA250" s="17"/>
    </row>
    <row r="251" spans="1:27" ht="15" hidden="1">
      <c r="A251" s="17"/>
      <c r="B251" s="20" t="s">
        <v>50</v>
      </c>
      <c r="C251" s="20"/>
      <c r="D251" s="20"/>
      <c r="E251" s="17"/>
      <c r="F251" s="20" t="s">
        <v>51</v>
      </c>
      <c r="G251" s="17"/>
      <c r="H251" s="17"/>
      <c r="I251" s="17"/>
      <c r="J251" s="21" t="s">
        <v>90</v>
      </c>
      <c r="K251" s="19">
        <v>17</v>
      </c>
      <c r="L251" s="17"/>
      <c r="M251" s="18" t="s">
        <v>346</v>
      </c>
      <c r="N251" s="17"/>
      <c r="O251" s="18" t="s">
        <v>348</v>
      </c>
      <c r="P251" s="17"/>
      <c r="Q251" s="21" t="s">
        <v>74</v>
      </c>
      <c r="R251" s="17"/>
      <c r="S251" s="17">
        <v>8</v>
      </c>
      <c r="T251" s="17"/>
      <c r="U251" s="22"/>
      <c r="V251" s="21"/>
      <c r="W251" s="23"/>
      <c r="X251" s="23"/>
      <c r="Y251" s="23"/>
      <c r="Z251" s="17"/>
      <c r="AA251" s="17"/>
    </row>
    <row r="252" spans="1:27" hidden="1">
      <c r="A252" s="17"/>
      <c r="B252" s="17" t="str">
        <f>IF(OR(E43=B234,E43=B242),"0",IF(E43=B235,"1",IF(E43=B236,"16",IF(E43=B237,"4",IF(E43=B238,"14",IF(E43=B239,"14",IF(E43=B240,"16","")))))))</f>
        <v/>
      </c>
      <c r="C252" s="17"/>
      <c r="D252" s="17"/>
      <c r="E252" s="17"/>
      <c r="F252" s="17" t="str">
        <f>IF(OR(G43=B234,G43=B242),"0",IF(G43=B235,"1",IF(G43=B236,"16",IF(G43=B237,"4",IF(G43=B238,"14",IF(G43=B239,"14",IF(G43=B240,"16",IF(G43=B241,"8",""))))))))</f>
        <v/>
      </c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21" t="s">
        <v>71</v>
      </c>
      <c r="R252" s="17"/>
      <c r="S252" s="17">
        <v>9</v>
      </c>
      <c r="T252" s="17"/>
      <c r="U252" s="22"/>
      <c r="V252" s="21"/>
      <c r="W252" s="23"/>
      <c r="X252" s="23"/>
      <c r="Y252" s="23"/>
      <c r="Z252" s="17"/>
      <c r="AA252" s="17"/>
    </row>
    <row r="253" spans="1:27" ht="15" hidden="1">
      <c r="A253" s="17"/>
      <c r="B253" s="17" t="str">
        <f>IF(B252="1",M235,IF(B252="16",M250,IF(B252="0",J234,IF(B252="14",M248,IF(B252="4",M248,"")))))</f>
        <v/>
      </c>
      <c r="C253" s="17"/>
      <c r="D253" s="17"/>
      <c r="E253" s="17"/>
      <c r="F253" s="17" t="str">
        <f>IF($F$252="1",M235,IF(F252="14",M248,IF(F252="0",J234,IF(F252="8",K234,IF(F252="16",M250,IF(F252="4",M248,""))))))</f>
        <v/>
      </c>
      <c r="G253" s="17"/>
      <c r="H253" s="17"/>
      <c r="I253" s="17"/>
      <c r="J253" s="20" t="s">
        <v>50</v>
      </c>
      <c r="K253" s="17">
        <v>100</v>
      </c>
      <c r="L253" s="151" t="s">
        <v>51</v>
      </c>
      <c r="M253" s="17"/>
      <c r="N253" s="17"/>
      <c r="O253" s="17"/>
      <c r="P253" s="17"/>
      <c r="Q253" s="21" t="s">
        <v>68</v>
      </c>
      <c r="R253" s="17"/>
      <c r="S253" s="17">
        <v>10</v>
      </c>
      <c r="T253" s="17"/>
      <c r="U253" s="22"/>
      <c r="V253" s="21"/>
      <c r="W253" s="23"/>
      <c r="X253" s="23"/>
      <c r="Y253" s="23"/>
      <c r="Z253" s="17"/>
      <c r="AA253" s="17"/>
    </row>
    <row r="254" spans="1:27" hidden="1">
      <c r="A254" s="17"/>
      <c r="B254" s="17" t="str">
        <f>IF($B$252="1",M236,IF(B252="14",M249,IF(B252="4",M249,"")))</f>
        <v/>
      </c>
      <c r="C254" s="17"/>
      <c r="D254" s="17"/>
      <c r="E254" s="17"/>
      <c r="F254" s="17" t="str">
        <f>IF($F$252="1",M236,IF(F252="14",M249,IF(F252="4",M249,"")))</f>
        <v/>
      </c>
      <c r="G254" s="17"/>
      <c r="H254" s="17"/>
      <c r="I254" s="17" t="s">
        <v>250</v>
      </c>
      <c r="J254" s="17" t="str">
        <f>IF(E70=J234,L235,IF(E70=M235,K235,IF(E70=M236,K236,IF(E70=M237,K237,IF(E70=M238,K238,IF(E70=M239,K239,IF(E70=M240,K240,IF(E70=M241,K241,IF(E70=M242,K242,IF(E70=M243,K243,IF(E70=M244,K244,IF(E70=M245,K245,IF(E70=M246,K246,IF(E70=M247,K247,IF(E70=M250,K250,IF(E70=M251,K251,IF(E70=M248,K248,IF(E70=M249,K249,""))))))))))))))))))</f>
        <v/>
      </c>
      <c r="K254" s="17"/>
      <c r="L254" s="208" t="str">
        <f>IF(G70=J234,L235,IF(G70=M235,K235,IF(G70=M236,K236,IF(G70=M237,K237,IF(G70=M238,K238,IF(G70=M239,K239,IF(G70=M240,K240,IF(G70=M241,K241,IF(G70=M242,K242,IF(G70=M243,K243,IF(G70=M244,K244,IF(G70=M245,K245,IF(G70=M246,K246,IF(G70=M247,K247,IF(G70=M250,K250,IF(G70=M251,K251,IF(G70=K234,L236,IF(G70=M248,K248,IF(G70=M249,K249,"")))))))))))))))))))</f>
        <v/>
      </c>
      <c r="M254" s="17"/>
      <c r="N254" s="17"/>
      <c r="O254" s="17"/>
      <c r="P254" s="17"/>
      <c r="Q254" s="21" t="s">
        <v>67</v>
      </c>
      <c r="R254" s="17"/>
      <c r="S254" s="17">
        <v>11</v>
      </c>
      <c r="T254" s="17"/>
      <c r="U254" s="22"/>
      <c r="V254" s="21"/>
      <c r="W254" s="23"/>
      <c r="X254" s="23"/>
      <c r="Y254" s="23"/>
      <c r="Z254" s="17"/>
      <c r="AA254" s="17"/>
    </row>
    <row r="255" spans="1:27" hidden="1">
      <c r="A255" s="17"/>
      <c r="B255" s="17" t="str">
        <f>IF($B$252="1",M237,IF(B252="4",M250,""))</f>
        <v/>
      </c>
      <c r="C255" s="17"/>
      <c r="D255" s="17"/>
      <c r="E255" s="17"/>
      <c r="F255" s="17" t="str">
        <f>IF($F$252="1",M237,IF(F252="4",M250,""))</f>
        <v/>
      </c>
      <c r="G255" s="17"/>
      <c r="H255" s="17" t="s">
        <v>251</v>
      </c>
      <c r="J255" s="17" t="str">
        <f>IF(E71=Q235,(J254*K253)+S235,IF(E71=Q237,(J254*K253)+S237,IF(E71=Q236,(J254*K253)+S236,IF(E71=Q238,(J254*K253)+S238,IF(E71=Q239,(J254*K253)+S239,IF(E71=Q240,(J254*K253)+S240,IF(E71=Q241,(J254*K253)+S241,IF(E71=Q242,(J254*K253)+S242,IF(E71=Q243,(J254*K253)+S243,IF(E71=Q245,(J254*K253)+S245,IF(E71=Q246,(J254*K253)+S246,IF(E71=Q247,(J254*K253)+S247,IF(E71=Q250,(J254*K253)+S250,IF(E71=Q251,(J254*K253)+S251,IF(E71=Q252,(J254*K253)+S252,IF(E71=Q253,(J254*K253)+S253,IF(E71=Q254,(J254*K253)+S254,IF(E71=Q255,(J254*K253)+S255,IF(E71=Q256,(J254*K253)+S256,IF(E71=Q257,(J254*K253)+S257,IF(E71=Q258,(J254*K253)+S258,IF(E71=Q259,(J254*K253)+S259,IF(E71=Q260,(J254*K253)+S260,IF(E71=Q261,(J254*K253)+S261,IF(E71=Q262,(J254*K253)+S262,IF(E71=Q263,(J254*K253)+S263,IF(E71=Q264,(J254*K253)+S264,"")))))))))))))))))))))))))))</f>
        <v/>
      </c>
      <c r="K255" s="17"/>
      <c r="L255" s="152" t="str">
        <f>IF(G71=Q235,(L254*K253)+S235,IF(G71=Q237,(L254*K253)+S237,IF(G71=Q236,(L254*K253)+S236,IF(G71=Q238,(L254*K253)+S238,IF(G71=Q239,(L254*K253)+S239,IF(G71=Q240,(L254*K253)+S240,IF(G71=Q241,(L254*K253)+S241,IF(G71=Q242,(L254*K253)+S242,IF(G71=Q243,(L254*K253)+S243,IF(G71=Q245,(L254*K253)+S245,IF(G71=Q246,(L254*K253)+S246,IF(G71=Q247,(L254*K253)+S247,IF(G71=Q250,(L254*K253)+S250,IF(G71=Q251,(L254*K253)+S251,IF(G71=Q252,(L254*K253)+S252,IF(G71=Q253,(L254*K253)+S253,IF(G71=Q254,(L254*K253)+S254,IF(G71=Q255,(L254*K253)+S255,IF(G71=Q256,(L254*K253)+S256,IF(G71=Q257,(L254*K253)+S257,IF(G71=Q258,(L254*K253)+S258,IF(G71=Q259,(L254*K253)+S259,IF(G71=Q260,(L254*K253)+S260,IF(G71=Q261,(L254*K253)+S261,IF(G71=Q262,(L254*K253)+S262,IF(G71=Q263,(L254*K253)+S263,IF(G71=Q264,(L254*K253)+S264,"")))))))))))))))))))))))))))</f>
        <v/>
      </c>
      <c r="M255" s="17"/>
      <c r="N255" s="17"/>
      <c r="O255" s="17"/>
      <c r="P255" s="17"/>
      <c r="Q255" s="21" t="s">
        <v>66</v>
      </c>
      <c r="R255" s="17"/>
      <c r="S255" s="17">
        <v>12</v>
      </c>
      <c r="T255" s="17"/>
      <c r="U255" s="22"/>
      <c r="V255" s="21"/>
      <c r="W255" s="23"/>
      <c r="X255" s="23"/>
      <c r="Y255" s="23"/>
      <c r="Z255" s="17"/>
      <c r="AA255" s="17"/>
    </row>
    <row r="256" spans="1:27" hidden="1">
      <c r="A256" s="17"/>
      <c r="B256" s="17" t="str">
        <f t="shared" ref="B256:B265" si="2">IF($B$252="1",M238,"")</f>
        <v/>
      </c>
      <c r="C256" s="17"/>
      <c r="D256" s="17"/>
      <c r="E256" s="17"/>
      <c r="F256" s="17" t="str">
        <f t="shared" ref="F256:F265" si="3">IF($F$252="1",M238,"")</f>
        <v/>
      </c>
      <c r="G256" s="17"/>
      <c r="H256" s="17"/>
      <c r="I256" s="17"/>
      <c r="J256" s="17" t="str">
        <f>IF($J$254=L235,J234,IF($J$254=K235,Q235,IF(J254=K236,Q235,IF(J254=K237,Q235,IF(J254=K238,Q235,IF(J254=K239,Q235,IF(J254=K240,Q235,IF(J254=K241,Q235,IF(J254=K242,Q235,IF(J254=K243,Q235,IF(J254=K244,Q235,IF(J254=K245,Q235,IF(J254=K246,Q235,IF(J254=K247,Q235,IF(J254=K250,Q237,IF(J254=K251,Q235,""))))))))))))))))</f>
        <v/>
      </c>
      <c r="K256" s="17"/>
      <c r="L256" s="152" t="str">
        <f>IF($L$254=L235,J234,IF($L$254=K235,Q235,IF(L254=K236,Q235,IF(L254=K237,Q235,IF(L254=K238,Q235,IF(L254=K239,Q235,IF(L254=K240,Q235,IF(L254=K241,Q235,IF(L254=K242,Q235,IF(L254=K243,Q235,IF(L254=K244,Q235,IF(L254=K245,Q235,IF(L254=K246,Q235,IF(L254=K247,Q235,IF(L254=K250,Q237,IF(L254=K251,Q235,IF(L254=L236,K234,"")))))))))))))))))</f>
        <v/>
      </c>
      <c r="M256" s="17"/>
      <c r="N256" s="17"/>
      <c r="O256" s="17"/>
      <c r="P256" s="17"/>
      <c r="Q256" s="21" t="s">
        <v>65</v>
      </c>
      <c r="R256" s="17"/>
      <c r="S256" s="17">
        <v>13</v>
      </c>
      <c r="T256" s="17"/>
      <c r="U256" s="22"/>
      <c r="V256" s="21"/>
      <c r="W256" s="23"/>
      <c r="X256" s="23"/>
      <c r="Y256" s="23"/>
      <c r="Z256" s="17"/>
      <c r="AA256" s="17"/>
    </row>
    <row r="257" spans="1:27" hidden="1">
      <c r="A257" s="17"/>
      <c r="B257" s="17" t="str">
        <f t="shared" si="2"/>
        <v/>
      </c>
      <c r="C257" s="17"/>
      <c r="D257" s="17"/>
      <c r="E257" s="17"/>
      <c r="F257" s="17" t="str">
        <f t="shared" si="3"/>
        <v/>
      </c>
      <c r="G257" s="17"/>
      <c r="H257" s="17"/>
      <c r="I257" s="17"/>
      <c r="J257" s="17" t="str">
        <f>IF($J$254=1,Q236,IF($J$254=2," ",IF($J$254=3,Q236,IF($J$254&lt;10," ",IF($J$254&lt;14,Q236,IF($J$254=16,Q238,IF(J254=K251,Q236,"")))))))</f>
        <v/>
      </c>
      <c r="K257" s="17"/>
      <c r="L257" s="152" t="str">
        <f>IF($L$254=1,Q236,IF($L$254=2," ",IF($L$254=3,Q236,IF($L$254&lt;10," ",IF($L$254&lt;14,Q236,IF($L$254=16,Q238,IF(L254=K251,Q236,"")))))))</f>
        <v/>
      </c>
      <c r="M257" s="17"/>
      <c r="N257" s="17"/>
      <c r="O257" s="17"/>
      <c r="P257" s="17"/>
      <c r="Q257" s="21" t="s">
        <v>64</v>
      </c>
      <c r="R257" s="17"/>
      <c r="S257" s="17">
        <v>14</v>
      </c>
      <c r="T257" s="17"/>
      <c r="U257" s="22"/>
      <c r="V257" s="21"/>
      <c r="W257" s="23"/>
      <c r="X257" s="23"/>
      <c r="Y257" s="23"/>
      <c r="Z257" s="17"/>
      <c r="AA257" s="17"/>
    </row>
    <row r="258" spans="1:27" hidden="1">
      <c r="A258" s="17"/>
      <c r="B258" s="17" t="str">
        <f t="shared" si="2"/>
        <v/>
      </c>
      <c r="C258" s="17"/>
      <c r="D258" s="17"/>
      <c r="E258" s="17"/>
      <c r="F258" s="17" t="str">
        <f t="shared" si="3"/>
        <v/>
      </c>
      <c r="G258" s="17"/>
      <c r="H258" s="17"/>
      <c r="I258" s="17"/>
      <c r="J258" s="17" t="str">
        <f>IF($J$254=16,Q239,"")</f>
        <v/>
      </c>
      <c r="K258" s="17"/>
      <c r="L258" s="152" t="str">
        <f>IF($L$254=16,Q239,"")</f>
        <v/>
      </c>
      <c r="M258" s="17"/>
      <c r="N258" s="17"/>
      <c r="O258" s="17"/>
      <c r="P258" s="17"/>
      <c r="Q258" s="21" t="s">
        <v>63</v>
      </c>
      <c r="R258" s="17"/>
      <c r="S258" s="17">
        <v>15</v>
      </c>
      <c r="T258" s="17"/>
      <c r="U258" s="22"/>
      <c r="V258" s="21"/>
      <c r="W258" s="23"/>
      <c r="X258" s="23"/>
      <c r="Y258" s="23"/>
      <c r="Z258" s="17"/>
      <c r="AA258" s="17"/>
    </row>
    <row r="259" spans="1:27" hidden="1">
      <c r="A259" s="17"/>
      <c r="B259" s="17" t="str">
        <f t="shared" si="2"/>
        <v/>
      </c>
      <c r="C259" s="17"/>
      <c r="D259" s="17"/>
      <c r="E259" s="17"/>
      <c r="F259" s="17" t="str">
        <f t="shared" si="3"/>
        <v/>
      </c>
      <c r="G259" s="17"/>
      <c r="H259" s="17"/>
      <c r="I259" s="17"/>
      <c r="J259" s="17" t="str">
        <f>IF($J$254=14,Q240,IF(J254=15,Q240,""))</f>
        <v/>
      </c>
      <c r="K259" s="17"/>
      <c r="L259" s="152" t="str">
        <f>IF($L$254=14,Q240,IF(L254=15,Q240,""))</f>
        <v/>
      </c>
      <c r="M259" s="17"/>
      <c r="N259" s="17"/>
      <c r="O259" s="17"/>
      <c r="P259" s="17"/>
      <c r="Q259" s="21" t="s">
        <v>62</v>
      </c>
      <c r="R259" s="17"/>
      <c r="S259" s="17">
        <v>16</v>
      </c>
      <c r="T259" s="17"/>
      <c r="U259" s="22"/>
      <c r="V259" s="21"/>
      <c r="W259" s="23"/>
      <c r="X259" s="23"/>
      <c r="Y259" s="23"/>
      <c r="Z259" s="17"/>
      <c r="AA259" s="17"/>
    </row>
    <row r="260" spans="1:27" hidden="1">
      <c r="A260" s="17"/>
      <c r="B260" s="17" t="str">
        <f t="shared" si="2"/>
        <v/>
      </c>
      <c r="C260" s="17"/>
      <c r="D260" s="17"/>
      <c r="E260" s="17"/>
      <c r="F260" s="17" t="str">
        <f t="shared" si="3"/>
        <v/>
      </c>
      <c r="G260" s="71"/>
      <c r="H260" s="17"/>
      <c r="I260" s="17"/>
      <c r="J260" s="17" t="str">
        <f>IF($J$254=14,Q241,IF(J254=15,Q241,""))</f>
        <v/>
      </c>
      <c r="K260" s="17"/>
      <c r="L260" s="152" t="str">
        <f>IF($L$254=14,Q241,IF(L254=15,Q241,""))</f>
        <v/>
      </c>
      <c r="M260" s="17"/>
      <c r="N260" s="17"/>
      <c r="O260" s="17"/>
      <c r="P260" s="17"/>
      <c r="Q260" s="21" t="s">
        <v>61</v>
      </c>
      <c r="R260" s="17"/>
      <c r="S260" s="17">
        <v>5</v>
      </c>
      <c r="T260" s="17"/>
      <c r="U260" s="22"/>
      <c r="V260" s="21"/>
      <c r="W260" s="23"/>
      <c r="X260" s="23"/>
      <c r="Y260" s="23"/>
      <c r="Z260" s="17"/>
      <c r="AA260" s="17"/>
    </row>
    <row r="261" spans="1:27" hidden="1">
      <c r="A261" s="17"/>
      <c r="B261" s="17" t="str">
        <f t="shared" si="2"/>
        <v/>
      </c>
      <c r="C261" s="17"/>
      <c r="D261" s="17"/>
      <c r="E261" s="17"/>
      <c r="F261" s="17" t="str">
        <f t="shared" si="3"/>
        <v/>
      </c>
      <c r="G261" s="17"/>
      <c r="H261" s="17"/>
      <c r="I261" s="17"/>
      <c r="J261" s="17" t="str">
        <f>IF($J$254=14,Q242,IF(J254=15,Q242,""))</f>
        <v/>
      </c>
      <c r="K261" s="17"/>
      <c r="L261" s="152" t="str">
        <f>IF($L$254=14,Q242,IF(L254=15,Q242,""))</f>
        <v/>
      </c>
      <c r="M261" s="17"/>
      <c r="N261" s="17"/>
      <c r="O261" s="17"/>
      <c r="P261" s="17"/>
      <c r="Q261" s="21" t="s">
        <v>60</v>
      </c>
      <c r="R261" s="17"/>
      <c r="S261" s="17">
        <v>17</v>
      </c>
      <c r="T261" s="17"/>
      <c r="U261" s="22"/>
      <c r="V261" s="21"/>
      <c r="W261" s="23"/>
      <c r="X261" s="23"/>
      <c r="Y261" s="23"/>
      <c r="Z261" s="17"/>
      <c r="AA261" s="17"/>
    </row>
    <row r="262" spans="1:27" hidden="1">
      <c r="A262" s="17"/>
      <c r="B262" s="17" t="str">
        <f t="shared" si="2"/>
        <v/>
      </c>
      <c r="C262" s="17"/>
      <c r="D262" s="17"/>
      <c r="E262" s="17"/>
      <c r="F262" s="17" t="str">
        <f t="shared" si="3"/>
        <v/>
      </c>
      <c r="G262" s="17"/>
      <c r="H262" s="17"/>
      <c r="I262" s="17"/>
      <c r="J262" s="17" t="str">
        <f>IF($J$254=14,Q243,IF(J254=15,Q243,""))</f>
        <v/>
      </c>
      <c r="K262" s="17"/>
      <c r="L262" s="152" t="str">
        <f>IF($L$254=14,Q243,IF(L254=15,Q243,""))</f>
        <v/>
      </c>
      <c r="M262" s="17"/>
      <c r="N262" s="17"/>
      <c r="O262" s="17"/>
      <c r="P262" s="17"/>
      <c r="Q262" s="21" t="s">
        <v>59</v>
      </c>
      <c r="R262" s="17"/>
      <c r="S262" s="17">
        <v>18</v>
      </c>
      <c r="T262" s="17"/>
      <c r="U262" s="22"/>
      <c r="V262" s="21"/>
      <c r="W262" s="23"/>
      <c r="X262" s="23"/>
      <c r="Y262" s="23"/>
      <c r="Z262" s="17"/>
      <c r="AA262" s="17"/>
    </row>
    <row r="263" spans="1:27" hidden="1">
      <c r="A263" s="17"/>
      <c r="B263" s="17" t="str">
        <f t="shared" si="2"/>
        <v/>
      </c>
      <c r="C263" s="17"/>
      <c r="D263" s="17"/>
      <c r="E263" s="17"/>
      <c r="F263" s="17" t="str">
        <f t="shared" si="3"/>
        <v/>
      </c>
      <c r="G263" s="17"/>
      <c r="H263" s="17"/>
      <c r="I263" s="17"/>
      <c r="J263" s="17" t="str">
        <f>IF($J$254=16,Q245,IF($J$254=14,Q260,IF($J$254=15,Q260,"")))</f>
        <v/>
      </c>
      <c r="K263" s="17"/>
      <c r="L263" s="152" t="str">
        <f>IF($L$254=16,Q245,IF($L$254=14,Q260,IF($L$254=15,Q260,"")))</f>
        <v/>
      </c>
      <c r="M263" s="17"/>
      <c r="N263" s="17"/>
      <c r="O263" s="17"/>
      <c r="P263" s="17"/>
      <c r="Q263" s="21" t="s">
        <v>58</v>
      </c>
      <c r="R263" s="17"/>
      <c r="S263" s="17">
        <v>19</v>
      </c>
      <c r="T263" s="17"/>
      <c r="U263" s="22"/>
      <c r="V263" s="21"/>
      <c r="W263" s="23"/>
      <c r="X263" s="23"/>
      <c r="Y263" s="23"/>
      <c r="Z263" s="17"/>
      <c r="AA263" s="17"/>
    </row>
    <row r="264" spans="1:27" hidden="1">
      <c r="A264" s="17"/>
      <c r="B264" s="17" t="str">
        <f t="shared" si="2"/>
        <v/>
      </c>
      <c r="C264" s="17"/>
      <c r="D264" s="17"/>
      <c r="E264" s="17"/>
      <c r="F264" s="17" t="str">
        <f t="shared" si="3"/>
        <v/>
      </c>
      <c r="G264" s="17"/>
      <c r="H264" s="17"/>
      <c r="I264" s="17"/>
      <c r="J264" s="17" t="str">
        <f>IF($J$254=16,Q246,"")</f>
        <v/>
      </c>
      <c r="K264" s="17"/>
      <c r="L264" s="152" t="str">
        <f>IF($L$254=16,Q246,"")</f>
        <v/>
      </c>
      <c r="M264" s="17"/>
      <c r="N264" s="17"/>
      <c r="O264" s="17"/>
      <c r="P264" s="17"/>
      <c r="Q264" s="153" t="s">
        <v>57</v>
      </c>
      <c r="R264" s="17"/>
      <c r="S264" s="17">
        <v>20</v>
      </c>
      <c r="T264" s="17"/>
      <c r="U264" s="22"/>
      <c r="V264" s="21"/>
      <c r="W264" s="23"/>
      <c r="X264" s="23"/>
      <c r="Y264" s="23"/>
      <c r="Z264" s="17"/>
      <c r="AA264" s="17"/>
    </row>
    <row r="265" spans="1:27" hidden="1">
      <c r="A265" s="17"/>
      <c r="B265" s="17" t="str">
        <f t="shared" si="2"/>
        <v/>
      </c>
      <c r="C265" s="17"/>
      <c r="D265" s="17"/>
      <c r="E265" s="17"/>
      <c r="F265" s="17" t="str">
        <f t="shared" si="3"/>
        <v/>
      </c>
      <c r="G265" s="17"/>
      <c r="H265" s="17"/>
      <c r="I265" s="17"/>
      <c r="J265" s="17" t="str">
        <f>IF($J$254=16,Q247,"")</f>
        <v/>
      </c>
      <c r="K265" s="17"/>
      <c r="L265" s="152" t="str">
        <f>IF($L$254=16,Q247,"")</f>
        <v/>
      </c>
      <c r="M265" s="17"/>
      <c r="N265" s="17"/>
      <c r="O265" s="17"/>
      <c r="P265" s="17"/>
      <c r="Q265" s="154"/>
      <c r="R265" s="17"/>
      <c r="T265" s="17"/>
      <c r="U265" s="22"/>
      <c r="V265" s="21"/>
      <c r="W265" s="23"/>
      <c r="X265" s="23"/>
      <c r="Y265" s="23"/>
      <c r="Z265" s="17"/>
      <c r="AA265" s="17"/>
    </row>
    <row r="266" spans="1:27" hidden="1">
      <c r="A266" s="213"/>
      <c r="B266" s="17" t="str">
        <f>IF($B$252="1",M251,"")</f>
        <v/>
      </c>
      <c r="C266" s="17"/>
      <c r="D266" s="17"/>
      <c r="E266" s="17"/>
      <c r="F266" s="17" t="str">
        <f>IF($F$252="1",M251,"")</f>
        <v/>
      </c>
      <c r="G266" s="17"/>
      <c r="H266" s="17"/>
      <c r="I266" s="17"/>
      <c r="J266" s="17" t="str">
        <f t="shared" ref="J266:J275" si="4">IF($J$254=16,Q250,"")</f>
        <v/>
      </c>
      <c r="K266" s="17"/>
      <c r="L266" s="152" t="str">
        <f t="shared" ref="L266:L275" si="5">IF($L$254=16,Q250,"")</f>
        <v/>
      </c>
      <c r="M266" s="17"/>
      <c r="N266" s="17"/>
      <c r="O266" s="17"/>
      <c r="P266" s="17"/>
      <c r="Q266" s="154"/>
      <c r="R266" s="17"/>
      <c r="S266" s="17"/>
      <c r="T266" s="17"/>
      <c r="U266" s="22"/>
      <c r="V266" s="21"/>
      <c r="W266" s="23"/>
      <c r="X266" s="23"/>
      <c r="Y266" s="23"/>
      <c r="Z266" s="17"/>
      <c r="AA266" s="17"/>
    </row>
    <row r="267" spans="1:27" hidden="1">
      <c r="A267" s="17"/>
      <c r="B267" s="17"/>
      <c r="C267" s="17"/>
      <c r="D267" s="17"/>
      <c r="E267" s="17"/>
      <c r="F267" s="17"/>
      <c r="G267" s="17"/>
      <c r="H267" s="17"/>
      <c r="I267" s="17"/>
      <c r="J267" s="17" t="str">
        <f t="shared" si="4"/>
        <v/>
      </c>
      <c r="K267" s="17"/>
      <c r="L267" s="152" t="str">
        <f t="shared" si="5"/>
        <v/>
      </c>
      <c r="M267" s="17"/>
      <c r="N267" s="17"/>
      <c r="O267" s="17"/>
      <c r="P267" s="17"/>
      <c r="Q267" s="130"/>
      <c r="R267" s="17"/>
      <c r="S267" s="17"/>
      <c r="T267" s="17"/>
      <c r="U267" s="22"/>
      <c r="V267" s="21"/>
      <c r="W267" s="23"/>
      <c r="X267" s="23"/>
      <c r="Y267" s="23"/>
      <c r="Z267" s="17"/>
      <c r="AA267" s="17"/>
    </row>
    <row r="268" spans="1:27" hidden="1">
      <c r="A268" s="17"/>
      <c r="B268" s="17"/>
      <c r="C268" s="17"/>
      <c r="D268" s="17"/>
      <c r="E268" s="17"/>
      <c r="F268" s="17"/>
      <c r="G268" s="17"/>
      <c r="H268" s="17"/>
      <c r="I268" s="17"/>
      <c r="J268" s="17" t="str">
        <f t="shared" si="4"/>
        <v/>
      </c>
      <c r="K268" s="17"/>
      <c r="L268" s="152" t="str">
        <f t="shared" si="5"/>
        <v/>
      </c>
      <c r="M268" s="17"/>
      <c r="N268" s="17"/>
      <c r="O268" s="17"/>
      <c r="P268" s="17"/>
      <c r="Q268" s="17"/>
      <c r="R268" s="17"/>
      <c r="S268" s="17"/>
      <c r="T268" s="17"/>
      <c r="U268" s="22"/>
      <c r="V268" s="21"/>
      <c r="W268" s="23"/>
      <c r="X268" s="23"/>
      <c r="Y268" s="23"/>
      <c r="Z268" s="17"/>
      <c r="AA268" s="17"/>
    </row>
    <row r="269" spans="1:27" hidden="1">
      <c r="A269" s="17"/>
      <c r="B269" s="17"/>
      <c r="C269" s="17"/>
      <c r="D269" s="17"/>
      <c r="E269" s="17"/>
      <c r="F269" s="17"/>
      <c r="G269" s="17"/>
      <c r="H269" s="17"/>
      <c r="I269" s="17"/>
      <c r="J269" s="17" t="str">
        <f t="shared" si="4"/>
        <v/>
      </c>
      <c r="K269" s="17"/>
      <c r="L269" s="152" t="str">
        <f t="shared" si="5"/>
        <v/>
      </c>
      <c r="M269" s="17"/>
      <c r="N269" s="17"/>
      <c r="O269" s="17"/>
      <c r="P269" s="17"/>
      <c r="Q269" s="17"/>
      <c r="R269" s="17"/>
      <c r="S269" s="17"/>
      <c r="T269" s="17"/>
      <c r="U269" s="22"/>
      <c r="V269" s="21"/>
      <c r="W269" s="23"/>
      <c r="X269" s="23"/>
      <c r="Y269" s="23"/>
      <c r="Z269" s="17"/>
      <c r="AA269" s="17"/>
    </row>
    <row r="270" spans="1:27" hidden="1">
      <c r="A270" s="17"/>
      <c r="B270" s="17"/>
      <c r="C270" s="17"/>
      <c r="D270" s="17"/>
      <c r="E270" s="17"/>
      <c r="F270" s="17"/>
      <c r="G270" s="17"/>
      <c r="H270" s="17"/>
      <c r="I270" s="17"/>
      <c r="J270" s="17" t="str">
        <f t="shared" si="4"/>
        <v/>
      </c>
      <c r="K270" s="17"/>
      <c r="L270" s="152" t="str">
        <f t="shared" si="5"/>
        <v/>
      </c>
      <c r="M270" s="17"/>
      <c r="N270" s="17"/>
      <c r="O270" s="17"/>
      <c r="P270" s="17"/>
      <c r="Q270" s="17"/>
      <c r="R270" s="17"/>
      <c r="S270" s="17"/>
      <c r="T270" s="17"/>
      <c r="U270" s="22"/>
      <c r="V270" s="21"/>
      <c r="W270" s="23"/>
      <c r="X270" s="23"/>
      <c r="Y270" s="23"/>
      <c r="Z270" s="17"/>
      <c r="AA270" s="17"/>
    </row>
    <row r="271" spans="1:27" hidden="1">
      <c r="A271" s="17"/>
      <c r="B271" s="17"/>
      <c r="C271" s="17"/>
      <c r="D271" s="17"/>
      <c r="E271" s="17"/>
      <c r="F271" s="17"/>
      <c r="G271" s="17"/>
      <c r="H271" s="17"/>
      <c r="I271" s="17"/>
      <c r="J271" s="17" t="str">
        <f t="shared" si="4"/>
        <v/>
      </c>
      <c r="K271" s="17"/>
      <c r="L271" s="152" t="str">
        <f t="shared" si="5"/>
        <v/>
      </c>
      <c r="M271" s="17"/>
      <c r="N271" s="17"/>
      <c r="O271" s="17"/>
      <c r="P271" s="17"/>
      <c r="Q271" s="17"/>
      <c r="R271" s="17"/>
      <c r="S271" s="17"/>
      <c r="T271" s="17"/>
      <c r="U271" s="22"/>
      <c r="V271" s="21"/>
      <c r="W271" s="23"/>
      <c r="X271" s="23"/>
      <c r="Y271" s="23"/>
      <c r="Z271" s="17"/>
      <c r="AA271" s="17"/>
    </row>
    <row r="272" spans="1:27" hidden="1">
      <c r="A272" s="17"/>
      <c r="B272" s="17"/>
      <c r="C272" s="17"/>
      <c r="D272" s="17"/>
      <c r="E272" s="17"/>
      <c r="F272" s="17"/>
      <c r="G272" s="17"/>
      <c r="H272" s="17"/>
      <c r="I272" s="17"/>
      <c r="J272" s="17" t="str">
        <f t="shared" si="4"/>
        <v/>
      </c>
      <c r="K272" s="17"/>
      <c r="L272" s="152" t="str">
        <f t="shared" si="5"/>
        <v/>
      </c>
      <c r="M272" s="17"/>
      <c r="N272" s="17"/>
      <c r="O272" s="17"/>
      <c r="P272" s="17"/>
      <c r="Q272" s="17"/>
      <c r="R272" s="17"/>
      <c r="S272" s="17"/>
      <c r="T272" s="17"/>
      <c r="U272" s="22"/>
      <c r="V272" s="21"/>
      <c r="W272" s="23"/>
      <c r="X272" s="23"/>
      <c r="Y272" s="23"/>
      <c r="Z272" s="17"/>
      <c r="AA272" s="17"/>
    </row>
    <row r="273" spans="1:27" hidden="1">
      <c r="A273" s="17"/>
      <c r="B273" s="17"/>
      <c r="C273" s="17"/>
      <c r="D273" s="17"/>
      <c r="E273" s="17"/>
      <c r="F273" s="17"/>
      <c r="G273" s="17"/>
      <c r="H273" s="17"/>
      <c r="I273" s="17"/>
      <c r="J273" s="17" t="str">
        <f t="shared" si="4"/>
        <v/>
      </c>
      <c r="K273" s="17"/>
      <c r="L273" s="152" t="str">
        <f t="shared" si="5"/>
        <v/>
      </c>
      <c r="M273" s="17"/>
      <c r="N273" s="17"/>
      <c r="O273" s="17"/>
      <c r="P273" s="17"/>
      <c r="Q273" s="17"/>
      <c r="R273" s="17"/>
      <c r="S273" s="17"/>
      <c r="T273" s="17"/>
      <c r="U273" s="22"/>
      <c r="V273" s="21"/>
      <c r="W273" s="23"/>
      <c r="X273" s="23"/>
      <c r="Y273" s="23"/>
      <c r="Z273" s="17"/>
      <c r="AA273" s="17"/>
    </row>
    <row r="274" spans="1:27" hidden="1">
      <c r="A274" s="17"/>
      <c r="B274" s="17"/>
      <c r="C274" s="17"/>
      <c r="D274" s="17"/>
      <c r="E274" s="17"/>
      <c r="F274" s="17"/>
      <c r="G274" s="17"/>
      <c r="H274" s="17"/>
      <c r="I274" s="17"/>
      <c r="J274" s="17" t="str">
        <f t="shared" si="4"/>
        <v/>
      </c>
      <c r="K274" s="17"/>
      <c r="L274" s="152" t="str">
        <f t="shared" si="5"/>
        <v/>
      </c>
      <c r="M274" s="17"/>
      <c r="N274" s="17"/>
      <c r="O274" s="17"/>
      <c r="P274" s="17"/>
      <c r="Q274" s="17"/>
      <c r="R274" s="17"/>
      <c r="S274" s="17"/>
      <c r="T274" s="17"/>
      <c r="U274" s="22"/>
      <c r="V274" s="21"/>
      <c r="W274" s="23"/>
      <c r="X274" s="23"/>
      <c r="Y274" s="23"/>
      <c r="Z274" s="17"/>
      <c r="AA274" s="17"/>
    </row>
    <row r="275" spans="1:27" hidden="1">
      <c r="A275" s="17"/>
      <c r="B275" s="17"/>
      <c r="C275" s="17"/>
      <c r="D275" s="17"/>
      <c r="E275" s="17"/>
      <c r="F275" s="17"/>
      <c r="G275" s="17"/>
      <c r="H275" s="17"/>
      <c r="I275" s="17"/>
      <c r="J275" s="17" t="str">
        <f t="shared" si="4"/>
        <v/>
      </c>
      <c r="K275" s="17"/>
      <c r="L275" s="152" t="str">
        <f t="shared" si="5"/>
        <v/>
      </c>
      <c r="M275" s="17"/>
      <c r="N275" s="17"/>
      <c r="O275" s="17"/>
      <c r="P275" s="17"/>
      <c r="Q275" s="17"/>
      <c r="R275" s="17"/>
      <c r="S275" s="17"/>
      <c r="T275" s="17"/>
      <c r="U275" s="22"/>
      <c r="V275" s="21"/>
      <c r="W275" s="23"/>
      <c r="X275" s="23"/>
      <c r="Y275" s="23"/>
      <c r="Z275" s="17"/>
      <c r="AA275" s="17"/>
    </row>
    <row r="276" spans="1:27" hidden="1">
      <c r="A276" s="17"/>
      <c r="B276" s="17"/>
      <c r="C276" s="17"/>
      <c r="D276" s="17"/>
      <c r="E276" s="17"/>
      <c r="F276" s="17"/>
      <c r="G276" s="17"/>
      <c r="H276" s="17"/>
      <c r="I276" s="17"/>
      <c r="J276" s="17" t="str">
        <f>IF($J$254=16,Q261,"")</f>
        <v/>
      </c>
      <c r="K276" s="17"/>
      <c r="L276" s="152" t="str">
        <f>IF($L$254=16,Q261,"")</f>
        <v/>
      </c>
      <c r="M276" s="17"/>
      <c r="N276" s="17"/>
      <c r="O276" s="17"/>
      <c r="P276" s="17"/>
      <c r="Q276" s="17"/>
      <c r="R276" s="17"/>
      <c r="S276" s="17"/>
      <c r="T276" s="17"/>
      <c r="U276" s="22"/>
      <c r="V276" s="21"/>
      <c r="W276" s="23"/>
      <c r="X276" s="23"/>
      <c r="Y276" s="23"/>
      <c r="Z276" s="17"/>
      <c r="AA276" s="17"/>
    </row>
    <row r="277" spans="1:27" hidden="1">
      <c r="A277" s="17"/>
      <c r="B277" s="17"/>
      <c r="C277" s="17"/>
      <c r="D277" s="17"/>
      <c r="E277" s="17"/>
      <c r="F277" s="17"/>
      <c r="G277" s="17"/>
      <c r="H277" s="17"/>
      <c r="I277" s="17"/>
      <c r="J277" s="17" t="str">
        <f>IF($J$254=16,Q262,"")</f>
        <v/>
      </c>
      <c r="K277" s="17"/>
      <c r="L277" s="152" t="str">
        <f>IF($L$254=16,Q262,"")</f>
        <v/>
      </c>
      <c r="M277" s="17"/>
      <c r="N277" s="17"/>
      <c r="O277" s="17"/>
      <c r="P277" s="17"/>
      <c r="Q277" s="17"/>
      <c r="R277" s="17"/>
      <c r="S277" s="17"/>
      <c r="T277" s="17"/>
      <c r="U277" s="22"/>
      <c r="V277" s="21"/>
      <c r="W277" s="23"/>
      <c r="X277" s="23"/>
      <c r="Y277" s="23"/>
      <c r="Z277" s="17"/>
      <c r="AA277" s="17"/>
    </row>
    <row r="278" spans="1:27" hidden="1">
      <c r="A278" s="17"/>
      <c r="B278" s="17"/>
      <c r="C278" s="17"/>
      <c r="D278" s="17"/>
      <c r="E278" s="17"/>
      <c r="F278" s="17"/>
      <c r="G278" s="17"/>
      <c r="H278" s="17"/>
      <c r="I278" s="17"/>
      <c r="J278" s="17" t="str">
        <f>IF($J$254=16,Q263,"")</f>
        <v/>
      </c>
      <c r="K278" s="17"/>
      <c r="L278" s="152" t="str">
        <f>IF($L$254=16,Q263,"")</f>
        <v/>
      </c>
      <c r="M278" s="17"/>
      <c r="N278" s="17"/>
      <c r="O278" s="17"/>
      <c r="P278" s="17"/>
      <c r="Q278" s="17"/>
      <c r="R278" s="17"/>
      <c r="S278" s="17"/>
      <c r="T278" s="17"/>
      <c r="U278" s="22"/>
      <c r="V278" s="21"/>
      <c r="W278" s="23"/>
      <c r="X278" s="23"/>
      <c r="Y278" s="23"/>
      <c r="Z278" s="17"/>
      <c r="AA278" s="17"/>
    </row>
    <row r="279" spans="1:27" hidden="1">
      <c r="A279" s="17"/>
      <c r="B279" s="27"/>
      <c r="C279" s="27"/>
      <c r="D279" s="27"/>
      <c r="E279" s="17"/>
      <c r="F279" s="17"/>
      <c r="G279" s="17"/>
      <c r="H279" s="17"/>
      <c r="I279" s="17"/>
      <c r="J279" s="17" t="str">
        <f>IF($J$254=16,Q264,"")</f>
        <v/>
      </c>
      <c r="K279" s="17"/>
      <c r="L279" s="152" t="str">
        <f>IF($L$254=16,Q264,"")</f>
        <v/>
      </c>
      <c r="M279" s="17"/>
      <c r="N279" s="17"/>
      <c r="O279" s="17"/>
      <c r="P279" s="17"/>
      <c r="Q279" s="17"/>
      <c r="R279" s="17"/>
      <c r="S279" s="17"/>
      <c r="T279" s="17"/>
      <c r="U279" s="22"/>
      <c r="V279" s="21"/>
      <c r="W279" s="23"/>
      <c r="X279" s="23"/>
      <c r="Y279" s="23"/>
      <c r="Z279" s="17"/>
      <c r="AA279" s="17"/>
    </row>
    <row r="280" spans="1:27" hidden="1">
      <c r="A280" s="17"/>
      <c r="B280" s="27"/>
      <c r="C280" s="27"/>
      <c r="D280" s="27"/>
      <c r="E280" s="71"/>
      <c r="F280" s="71"/>
      <c r="G280" s="71"/>
      <c r="H280" s="71"/>
      <c r="I280" s="213"/>
      <c r="J280" s="17" t="str">
        <f>IF($J$254=16,Q265,"")</f>
        <v/>
      </c>
      <c r="K280" s="17"/>
      <c r="L280" s="152" t="str">
        <f>IF($L$254=16,Q265,"")</f>
        <v/>
      </c>
      <c r="M280" s="17"/>
      <c r="N280" s="17"/>
      <c r="O280" s="17"/>
      <c r="P280" s="17"/>
      <c r="Q280" s="17"/>
      <c r="R280" s="17"/>
      <c r="S280" s="17"/>
      <c r="T280" s="17"/>
      <c r="U280" s="22"/>
      <c r="V280" s="21"/>
      <c r="W280" s="23"/>
      <c r="X280" s="23"/>
      <c r="Y280" s="23"/>
      <c r="Z280" s="17"/>
      <c r="AA280" s="17"/>
    </row>
    <row r="281" spans="1:27" hidden="1">
      <c r="A281" s="17"/>
      <c r="B281" s="27"/>
      <c r="C281" s="27"/>
      <c r="D281" s="27"/>
      <c r="E281" s="71"/>
      <c r="F281" s="71"/>
      <c r="G281" s="71"/>
      <c r="H281" s="71"/>
      <c r="I281" s="17"/>
      <c r="J281" s="17"/>
      <c r="K281" s="17"/>
      <c r="L281" s="152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spans="1:27" hidden="1">
      <c r="A282" s="17"/>
      <c r="B282" s="17"/>
      <c r="C282" s="17"/>
      <c r="D282" s="17"/>
      <c r="E282" s="71"/>
      <c r="F282" s="71"/>
      <c r="G282" s="71"/>
      <c r="H282" s="71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spans="1:27" hidden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hidden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spans="1:27" hidden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spans="1:27" hidden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spans="1:27" hidden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spans="1:27" hidden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spans="1:27" hidden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hidden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hidden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hidden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hidden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hidden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hidden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hidden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spans="1:27" hidden="1">
      <c r="A297" s="17"/>
      <c r="B297" s="28" t="s">
        <v>77</v>
      </c>
      <c r="C297" s="28"/>
      <c r="D297" s="28"/>
      <c r="E297" s="25"/>
      <c r="F297" s="25"/>
      <c r="G297" s="25"/>
      <c r="H297" s="25"/>
      <c r="I297" s="17"/>
      <c r="J297" s="17"/>
      <c r="K297" s="28" t="s">
        <v>77</v>
      </c>
      <c r="L297" s="25"/>
      <c r="M297" s="25"/>
      <c r="N297" s="25"/>
      <c r="O297" s="25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hidden="1">
      <c r="A298" s="17"/>
      <c r="B298" s="28" t="s">
        <v>76</v>
      </c>
      <c r="C298" s="28"/>
      <c r="D298" s="28"/>
      <c r="E298" s="26"/>
      <c r="F298" s="26"/>
      <c r="G298" s="27" t="str">
        <f>IF($B$260="ton (Mg)",#REF!/1000,"-   ")</f>
        <v xml:space="preserve">-   </v>
      </c>
      <c r="H298" s="17" t="s">
        <v>75</v>
      </c>
      <c r="I298" s="17"/>
      <c r="J298" s="17"/>
      <c r="K298" s="28" t="s">
        <v>76</v>
      </c>
      <c r="L298" s="26"/>
      <c r="M298" s="26"/>
      <c r="N298" s="27" t="str">
        <f>IF($G$260="ton (Mg)",#REF!/1000,"-   ")</f>
        <v xml:space="preserve">-   </v>
      </c>
      <c r="O298" s="17" t="s">
        <v>75</v>
      </c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hidden="1">
      <c r="A299" s="17"/>
      <c r="B299" s="28" t="s">
        <v>73</v>
      </c>
      <c r="C299" s="28"/>
      <c r="D299" s="28"/>
      <c r="E299" s="26"/>
      <c r="F299" s="26"/>
      <c r="G299" s="27" t="e">
        <f>IF(#REF!="m3",#REF!/1000000,"-   ")</f>
        <v>#REF!</v>
      </c>
      <c r="H299" s="17" t="s">
        <v>72</v>
      </c>
      <c r="I299" s="17"/>
      <c r="J299" s="17"/>
      <c r="K299" s="28" t="s">
        <v>73</v>
      </c>
      <c r="L299" s="26"/>
      <c r="M299" s="26"/>
      <c r="N299" s="27" t="e">
        <f>IF(#REF!="m3",#REF!/1000000,"-   ")</f>
        <v>#REF!</v>
      </c>
      <c r="O299" s="17" t="s">
        <v>72</v>
      </c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spans="1:27" hidden="1">
      <c r="A300" s="17"/>
      <c r="B300" s="28" t="s">
        <v>70</v>
      </c>
      <c r="C300" s="28"/>
      <c r="D300" s="28"/>
      <c r="E300" s="26"/>
      <c r="F300" s="26"/>
      <c r="G300" s="27" t="str">
        <f>IF($B$260="m3",#REF!/#REF!,"-   ")</f>
        <v xml:space="preserve">-   </v>
      </c>
      <c r="H300" s="17" t="s">
        <v>69</v>
      </c>
      <c r="I300" s="17"/>
      <c r="J300" s="17"/>
      <c r="K300" s="28" t="s">
        <v>70</v>
      </c>
      <c r="L300" s="26"/>
      <c r="M300" s="26"/>
      <c r="N300" s="27" t="str">
        <f>IF($G$260="m3",#REF!/#REF!,"-   ")</f>
        <v xml:space="preserve">-   </v>
      </c>
      <c r="O300" s="17" t="s">
        <v>69</v>
      </c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hidden="1">
      <c r="A301" s="17"/>
      <c r="B301" s="28" t="s">
        <v>142</v>
      </c>
      <c r="C301" s="28"/>
      <c r="D301" s="28"/>
      <c r="E301" s="26"/>
      <c r="F301" s="26"/>
      <c r="G301" s="69" t="str">
        <f>IF($B$260="kg",#REF!/0.73/10^6,"-   ")</f>
        <v xml:space="preserve">-   </v>
      </c>
      <c r="H301" s="17" t="s">
        <v>72</v>
      </c>
      <c r="I301" s="17"/>
      <c r="J301" s="17"/>
      <c r="K301" s="28" t="s">
        <v>142</v>
      </c>
      <c r="L301" s="26"/>
      <c r="M301" s="26"/>
      <c r="N301" s="69" t="str">
        <f>IF($G$260="kg",#REF!/0.73/10^6,"-   ")</f>
        <v xml:space="preserve">-   </v>
      </c>
      <c r="O301" s="17" t="s">
        <v>72</v>
      </c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spans="1:27" hidden="1">
      <c r="A302" s="17"/>
      <c r="B302" s="28" t="s">
        <v>140</v>
      </c>
      <c r="C302" s="28"/>
      <c r="D302" s="28"/>
      <c r="E302" s="26"/>
      <c r="F302" s="26"/>
      <c r="G302" s="27" t="str">
        <f>IF($B$260="kg",#REF!/580,"-   ")</f>
        <v xml:space="preserve">-   </v>
      </c>
      <c r="H302" s="17" t="s">
        <v>141</v>
      </c>
      <c r="I302" s="25"/>
      <c r="J302" s="17"/>
      <c r="K302" s="28" t="s">
        <v>140</v>
      </c>
      <c r="L302" s="26"/>
      <c r="M302" s="26"/>
      <c r="N302" s="27" t="str">
        <f>IF($G$260="kg",#REF!/580,"-   ")</f>
        <v xml:space="preserve">-   </v>
      </c>
      <c r="O302" s="17" t="s">
        <v>141</v>
      </c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hidden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ht="15.75" hidden="1" thickBot="1">
      <c r="A304" s="17"/>
      <c r="B304" s="20" t="s">
        <v>144</v>
      </c>
      <c r="C304" s="20"/>
      <c r="D304" s="20"/>
      <c r="E304" s="17"/>
      <c r="F304" s="17"/>
      <c r="G304" s="17"/>
      <c r="H304" s="17"/>
      <c r="I304" s="17"/>
      <c r="J304" s="17"/>
      <c r="K304" s="17">
        <v>15.6</v>
      </c>
      <c r="L304" s="17" t="s">
        <v>86</v>
      </c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ht="15" hidden="1" thickBot="1">
      <c r="A305" s="17"/>
      <c r="B305" s="73" t="s">
        <v>145</v>
      </c>
      <c r="C305" s="73"/>
      <c r="D305" s="73"/>
      <c r="E305" s="17"/>
      <c r="F305" s="17"/>
      <c r="G305" s="17"/>
      <c r="H305" s="17"/>
      <c r="I305" s="17"/>
      <c r="J305" s="17"/>
      <c r="K305" s="256">
        <v>0</v>
      </c>
      <c r="L305" s="17" t="s">
        <v>86</v>
      </c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hidden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spans="1:27" hidden="1"/>
    <row r="308" spans="1:27" hidden="1"/>
    <row r="309" spans="1:27" hidden="1"/>
    <row r="310" spans="1:27" hidden="1"/>
    <row r="311" spans="1:27" hidden="1"/>
    <row r="312" spans="1:27" hidden="1"/>
    <row r="313" spans="1:27" hidden="1"/>
    <row r="314" spans="1:27" hidden="1"/>
    <row r="315" spans="1:27" hidden="1"/>
    <row r="316" spans="1:27" hidden="1"/>
    <row r="317" spans="1:27" hidden="1"/>
    <row r="318" spans="1:27" hidden="1"/>
    <row r="319" spans="1:27" hidden="1"/>
    <row r="320" spans="1:27" hidden="1"/>
  </sheetData>
  <sheetProtection algorithmName="SHA-512" hashValue="iN6DYLTtRGltHMmcERqanSkJcSxSVX5ZEn0WuhySsYRrYtSGED6wKHv2cyk1z7kudYMRFewM7jjF1YEVb3R1wg==" saltValue="kqOaKVI+nRdYK/Zr5X1b3w==" spinCount="100000" sheet="1" formatRows="0"/>
  <dataConsolidate/>
  <mergeCells count="198">
    <mergeCell ref="A72:D72"/>
    <mergeCell ref="A73:D73"/>
    <mergeCell ref="A77:D78"/>
    <mergeCell ref="A79:D79"/>
    <mergeCell ref="A80:D80"/>
    <mergeCell ref="A75:D75"/>
    <mergeCell ref="A74:D74"/>
    <mergeCell ref="B28:D28"/>
    <mergeCell ref="A48:D48"/>
    <mergeCell ref="A50:D50"/>
    <mergeCell ref="A49:D49"/>
    <mergeCell ref="A45:D45"/>
    <mergeCell ref="A53:D53"/>
    <mergeCell ref="A54:D54"/>
    <mergeCell ref="A55:D55"/>
    <mergeCell ref="B35:D35"/>
    <mergeCell ref="A59:D60"/>
    <mergeCell ref="B29:D29"/>
    <mergeCell ref="B30:D30"/>
    <mergeCell ref="B31:D31"/>
    <mergeCell ref="E74:F74"/>
    <mergeCell ref="G74:H74"/>
    <mergeCell ref="E75:F75"/>
    <mergeCell ref="G75:H75"/>
    <mergeCell ref="A90:H90"/>
    <mergeCell ref="E77:F77"/>
    <mergeCell ref="G77:H77"/>
    <mergeCell ref="A89:H89"/>
    <mergeCell ref="E59:F59"/>
    <mergeCell ref="G59:H59"/>
    <mergeCell ref="E71:F71"/>
    <mergeCell ref="G71:H71"/>
    <mergeCell ref="E69:F69"/>
    <mergeCell ref="G69:H69"/>
    <mergeCell ref="E70:F70"/>
    <mergeCell ref="G70:H70"/>
    <mergeCell ref="A61:D61"/>
    <mergeCell ref="A62:D62"/>
    <mergeCell ref="A63:D63"/>
    <mergeCell ref="A64:D64"/>
    <mergeCell ref="A65:D65"/>
    <mergeCell ref="A69:D69"/>
    <mergeCell ref="A70:D70"/>
    <mergeCell ref="A71:D71"/>
    <mergeCell ref="A41:D41"/>
    <mergeCell ref="G46:H46"/>
    <mergeCell ref="E47:F47"/>
    <mergeCell ref="G47:H47"/>
    <mergeCell ref="E48:F48"/>
    <mergeCell ref="G48:H48"/>
    <mergeCell ref="A42:D42"/>
    <mergeCell ref="A43:D43"/>
    <mergeCell ref="A44:D44"/>
    <mergeCell ref="A46:D46"/>
    <mergeCell ref="A47:D47"/>
    <mergeCell ref="E55:F55"/>
    <mergeCell ref="G55:H55"/>
    <mergeCell ref="E53:F53"/>
    <mergeCell ref="G53:H53"/>
    <mergeCell ref="E54:F54"/>
    <mergeCell ref="G54:H54"/>
    <mergeCell ref="AK1:AL1"/>
    <mergeCell ref="E42:F42"/>
    <mergeCell ref="E28:H28"/>
    <mergeCell ref="E29:H29"/>
    <mergeCell ref="E30:H30"/>
    <mergeCell ref="E31:H31"/>
    <mergeCell ref="E32:H32"/>
    <mergeCell ref="E33:H33"/>
    <mergeCell ref="E34:H34"/>
    <mergeCell ref="E35:H35"/>
    <mergeCell ref="E10:F10"/>
    <mergeCell ref="G42:H42"/>
    <mergeCell ref="E43:F43"/>
    <mergeCell ref="G43:H43"/>
    <mergeCell ref="E44:F44"/>
    <mergeCell ref="G44:H44"/>
    <mergeCell ref="E52:F52"/>
    <mergeCell ref="G52:H52"/>
    <mergeCell ref="E45:F45"/>
    <mergeCell ref="E41:F41"/>
    <mergeCell ref="G41:H41"/>
    <mergeCell ref="E49:F49"/>
    <mergeCell ref="G49:H49"/>
    <mergeCell ref="A6:H6"/>
    <mergeCell ref="A1:H1"/>
    <mergeCell ref="A2:H2"/>
    <mergeCell ref="A3:H3"/>
    <mergeCell ref="A4:H4"/>
    <mergeCell ref="A5:H5"/>
    <mergeCell ref="A10:A11"/>
    <mergeCell ref="G10:H10"/>
    <mergeCell ref="E40:F40"/>
    <mergeCell ref="G40:H40"/>
    <mergeCell ref="B33:D33"/>
    <mergeCell ref="B34:D34"/>
    <mergeCell ref="A40:D40"/>
    <mergeCell ref="B32:D32"/>
    <mergeCell ref="B24:D24"/>
    <mergeCell ref="B10:D11"/>
    <mergeCell ref="B151:G151"/>
    <mergeCell ref="I151:L151"/>
    <mergeCell ref="B152:G152"/>
    <mergeCell ref="I152:L152"/>
    <mergeCell ref="B154:G154"/>
    <mergeCell ref="I154:L154"/>
    <mergeCell ref="B155:G155"/>
    <mergeCell ref="I155:L155"/>
    <mergeCell ref="A117:B117"/>
    <mergeCell ref="A118:B118"/>
    <mergeCell ref="B132:L133"/>
    <mergeCell ref="B134:F134"/>
    <mergeCell ref="G45:H45"/>
    <mergeCell ref="E46:F46"/>
    <mergeCell ref="AM166:AM169"/>
    <mergeCell ref="B167:G167"/>
    <mergeCell ref="I167:L167"/>
    <mergeCell ref="E168:F168"/>
    <mergeCell ref="J168:K168"/>
    <mergeCell ref="B157:G157"/>
    <mergeCell ref="I157:L157"/>
    <mergeCell ref="AM157:AM165"/>
    <mergeCell ref="B158:G158"/>
    <mergeCell ref="I158:L158"/>
    <mergeCell ref="B160:G160"/>
    <mergeCell ref="I160:L160"/>
    <mergeCell ref="B161:G161"/>
    <mergeCell ref="I161:L161"/>
    <mergeCell ref="B164:G164"/>
    <mergeCell ref="I164:L164"/>
    <mergeCell ref="E165:F165"/>
    <mergeCell ref="J165:K165"/>
    <mergeCell ref="B146:G146"/>
    <mergeCell ref="AM148:AM156"/>
    <mergeCell ref="B149:G149"/>
    <mergeCell ref="I149:L149"/>
    <mergeCell ref="AL170:AL177"/>
    <mergeCell ref="AM170:AM173"/>
    <mergeCell ref="E171:F171"/>
    <mergeCell ref="J171:K171"/>
    <mergeCell ref="B173:G173"/>
    <mergeCell ref="I173:L173"/>
    <mergeCell ref="E174:F174"/>
    <mergeCell ref="J174:K174"/>
    <mergeCell ref="AM174:AM177"/>
    <mergeCell ref="B176:G176"/>
    <mergeCell ref="I176:L176"/>
    <mergeCell ref="B170:G170"/>
    <mergeCell ref="I170:L170"/>
    <mergeCell ref="AM186:AM188"/>
    <mergeCell ref="B187:E187"/>
    <mergeCell ref="I187:J187"/>
    <mergeCell ref="B189:L189"/>
    <mergeCell ref="E194:F194"/>
    <mergeCell ref="AL178:AL185"/>
    <mergeCell ref="AM178:AM181"/>
    <mergeCell ref="B182:G182"/>
    <mergeCell ref="I182:L182"/>
    <mergeCell ref="AM182:AM185"/>
    <mergeCell ref="V202:X202"/>
    <mergeCell ref="V203:X203"/>
    <mergeCell ref="B204:E204"/>
    <mergeCell ref="V204:X204"/>
    <mergeCell ref="B198:G198"/>
    <mergeCell ref="B199:G199"/>
    <mergeCell ref="S200:U200"/>
    <mergeCell ref="V200:X200"/>
    <mergeCell ref="B201:G201"/>
    <mergeCell ref="V201:X201"/>
    <mergeCell ref="B202:G202"/>
    <mergeCell ref="V215:X215"/>
    <mergeCell ref="J231:K231"/>
    <mergeCell ref="V210:X210"/>
    <mergeCell ref="V211:X211"/>
    <mergeCell ref="V212:X212"/>
    <mergeCell ref="V213:X213"/>
    <mergeCell ref="V214:X214"/>
    <mergeCell ref="B205:G205"/>
    <mergeCell ref="V205:X205"/>
    <mergeCell ref="Q206:R206"/>
    <mergeCell ref="V206:X206"/>
    <mergeCell ref="S209:U209"/>
    <mergeCell ref="V209:X209"/>
    <mergeCell ref="Q215:R215"/>
    <mergeCell ref="B135:L135"/>
    <mergeCell ref="B137:G137"/>
    <mergeCell ref="I146:L146"/>
    <mergeCell ref="B148:G148"/>
    <mergeCell ref="I148:L148"/>
    <mergeCell ref="B141:G141"/>
    <mergeCell ref="I141:L141"/>
    <mergeCell ref="B143:E143"/>
    <mergeCell ref="I143:J143"/>
    <mergeCell ref="B144:G144"/>
    <mergeCell ref="I144:L144"/>
    <mergeCell ref="I137:L137"/>
    <mergeCell ref="B140:G140"/>
    <mergeCell ref="I140:L140"/>
  </mergeCells>
  <conditionalFormatting sqref="E29:E35">
    <cfRule type="cellIs" dxfId="91" priority="8" operator="equal">
      <formula>""</formula>
    </cfRule>
  </conditionalFormatting>
  <conditionalFormatting sqref="E41:H49">
    <cfRule type="cellIs" dxfId="90" priority="25" operator="equal">
      <formula>""</formula>
    </cfRule>
  </conditionalFormatting>
  <conditionalFormatting sqref="E50">
    <cfRule type="cellIs" dxfId="89" priority="24" operator="equal">
      <formula>""</formula>
    </cfRule>
  </conditionalFormatting>
  <conditionalFormatting sqref="G50">
    <cfRule type="cellIs" dxfId="88" priority="23" operator="equal">
      <formula>""</formula>
    </cfRule>
  </conditionalFormatting>
  <conditionalFormatting sqref="E53:H55">
    <cfRule type="cellIs" dxfId="87" priority="22" operator="equal">
      <formula>""</formula>
    </cfRule>
  </conditionalFormatting>
  <conditionalFormatting sqref="E70:F70">
    <cfRule type="cellIs" dxfId="86" priority="21" operator="equal">
      <formula>""</formula>
    </cfRule>
  </conditionalFormatting>
  <conditionalFormatting sqref="E71:F71">
    <cfRule type="cellIs" dxfId="85" priority="20" operator="equal">
      <formula>""</formula>
    </cfRule>
  </conditionalFormatting>
  <conditionalFormatting sqref="G70:H70">
    <cfRule type="cellIs" dxfId="84" priority="19" operator="equal">
      <formula>""</formula>
    </cfRule>
  </conditionalFormatting>
  <conditionalFormatting sqref="G71:H71">
    <cfRule type="cellIs" dxfId="83" priority="18" operator="equal">
      <formula>""</formula>
    </cfRule>
  </conditionalFormatting>
  <conditionalFormatting sqref="E12:E23">
    <cfRule type="cellIs" dxfId="82" priority="15" operator="equal">
      <formula>""</formula>
    </cfRule>
  </conditionalFormatting>
  <conditionalFormatting sqref="B24 E24">
    <cfRule type="cellIs" dxfId="81" priority="14" operator="equal">
      <formula>""</formula>
    </cfRule>
  </conditionalFormatting>
  <conditionalFormatting sqref="G12:G24">
    <cfRule type="cellIs" dxfId="80" priority="13" operator="equal">
      <formula>""</formula>
    </cfRule>
  </conditionalFormatting>
  <conditionalFormatting sqref="F24">
    <cfRule type="cellIs" dxfId="79" priority="12" operator="equal">
      <formula>""</formula>
    </cfRule>
  </conditionalFormatting>
  <conditionalFormatting sqref="B35">
    <cfRule type="cellIs" dxfId="78" priority="9" operator="equal">
      <formula>""</formula>
    </cfRule>
  </conditionalFormatting>
  <conditionalFormatting sqref="H12:H24">
    <cfRule type="cellIs" dxfId="77" priority="6" operator="equal">
      <formula>""</formula>
    </cfRule>
  </conditionalFormatting>
  <conditionalFormatting sqref="A5:H5">
    <cfRule type="cellIs" dxfId="76" priority="5" operator="equal">
      <formula>""</formula>
    </cfRule>
  </conditionalFormatting>
  <conditionalFormatting sqref="F20">
    <cfRule type="cellIs" dxfId="75" priority="4" operator="equal">
      <formula>""</formula>
    </cfRule>
  </conditionalFormatting>
  <conditionalFormatting sqref="F21">
    <cfRule type="cellIs" dxfId="74" priority="3" operator="equal">
      <formula>""</formula>
    </cfRule>
  </conditionalFormatting>
  <conditionalFormatting sqref="F22">
    <cfRule type="cellIs" dxfId="73" priority="2" operator="equal">
      <formula>""</formula>
    </cfRule>
  </conditionalFormatting>
  <conditionalFormatting sqref="F23">
    <cfRule type="cellIs" dxfId="72" priority="1" operator="equal">
      <formula>""</formula>
    </cfRule>
  </conditionalFormatting>
  <dataValidations count="21">
    <dataValidation type="list" allowBlank="1" showInputMessage="1" showErrorMessage="1" sqref="G71:H71" xr:uid="{00000000-0002-0000-0400-000001000000}">
      <formula1>$L$256:$L$280</formula1>
    </dataValidation>
    <dataValidation type="list" allowBlank="1" showInputMessage="1" showErrorMessage="1" sqref="G70:H70" xr:uid="{00000000-0002-0000-0400-000002000000}">
      <formula1>$F$253:$F$266</formula1>
    </dataValidation>
    <dataValidation type="list" allowBlank="1" showInputMessage="1" showErrorMessage="1" sqref="E71:F71" xr:uid="{00000000-0002-0000-0400-000003000000}">
      <formula1>$J$256:$J$280</formula1>
    </dataValidation>
    <dataValidation type="list" allowBlank="1" showInputMessage="1" showErrorMessage="1" sqref="E70:F70" xr:uid="{00000000-0002-0000-0400-000004000000}">
      <formula1>$B$253:$B$266</formula1>
    </dataValidation>
    <dataValidation type="list" allowBlank="1" showInputMessage="1" showErrorMessage="1" sqref="E41:H41" xr:uid="{00000000-0002-0000-0400-000005000000}">
      <formula1>$T$135:$T$142</formula1>
    </dataValidation>
    <dataValidation type="list" allowBlank="1" showInputMessage="1" showErrorMessage="1" sqref="G48" xr:uid="{00000000-0002-0000-0400-000006000000}">
      <formula1>$T$182:$T$185</formula1>
    </dataValidation>
    <dataValidation type="list" allowBlank="1" showInputMessage="1" showErrorMessage="1" sqref="E48" xr:uid="{00000000-0002-0000-0400-000007000000}">
      <formula1>$T$173:$T$176</formula1>
    </dataValidation>
    <dataValidation type="decimal" operator="greaterThanOrEqual" allowBlank="1" showInputMessage="1" showErrorMessage="1" error="Wymagana wartość liczbowa" sqref="E49:H49 E53:H55" xr:uid="{00000000-0002-0000-0400-000008000000}">
      <formula1>0</formula1>
    </dataValidation>
    <dataValidation type="list" allowBlank="1" showInputMessage="1" showErrorMessage="1" sqref="E43:F43" xr:uid="{00000000-0002-0000-0400-000009000000}">
      <formula1>$W$136:$W$137</formula1>
    </dataValidation>
    <dataValidation type="list" allowBlank="1" showInputMessage="1" showErrorMessage="1" sqref="G43:H43" xr:uid="{00000000-0002-0000-0400-00000A000000}">
      <formula1>$W$140:$W$141</formula1>
    </dataValidation>
    <dataValidation type="list" allowBlank="1" showInputMessage="1" showErrorMessage="1" sqref="E44:F44" xr:uid="{00000000-0002-0000-0400-00000B000000}">
      <formula1>IF(O147=0,$E$44,IF($O$147=1,$T$171,IF($O$147&lt;=3,$W$146:$W$147,IF($O$147&lt;=6,$T$171,$W$146:$W$147))))</formula1>
    </dataValidation>
    <dataValidation type="list" allowBlank="1" showInputMessage="1" showErrorMessage="1" sqref="E45:F45" xr:uid="{00000000-0002-0000-0400-00000C000000}">
      <formula1>IF(O147=0,$E$45,IF($O$147&lt;=4,$T$171,IF($O$147&lt;=6,$T$157:$T$158,$T$171)))</formula1>
    </dataValidation>
    <dataValidation type="list" allowBlank="1" showInputMessage="1" showErrorMessage="1" sqref="E46:F46" xr:uid="{00000000-0002-0000-0400-00000D000000}">
      <formula1>IF(O154=0,$E$46,IF($O$154&lt;2020,$T$171,IF($O$154&lt;3010,$W$149:$W$150,IF($O$154=3010,$T$171,IF($O$154=3020,$W$149:$W$150,$T$171)))))</formula1>
    </dataValidation>
    <dataValidation type="list" allowBlank="1" showInputMessage="1" showErrorMessage="1" sqref="E47:F47" xr:uid="{00000000-0002-0000-0400-00000E000000}">
      <formula1>IF(O154=0,$E$47,IF($O$154&lt;2020,$T$171,IF($O$154&lt;3010,$W$152:$W$153,IF($O$154=3010,$T$171,IF($O$154=3020,$W$152:$W$153,$T$171)))))</formula1>
    </dataValidation>
    <dataValidation type="list" allowBlank="1" showInputMessage="1" showErrorMessage="1" sqref="G44:H44" xr:uid="{00000000-0002-0000-0400-00000F000000}">
      <formula1>IF(Q147=0,$G$44,IF($Q$147=1,$T$171,IF($Q$147&lt;=3,$W$146:$W$147,IF($Q$147&lt;=6,$T$171,$W$146:$W$147))))</formula1>
    </dataValidation>
    <dataValidation type="list" allowBlank="1" showInputMessage="1" showErrorMessage="1" sqref="G45:H45" xr:uid="{00000000-0002-0000-0400-000010000000}">
      <formula1>IF(Q147=0,$G$45,IF($Q$147&lt;=4,$T$171,IF($Q$147&lt;=6,$T$157:$T$158,$T$171)))</formula1>
    </dataValidation>
    <dataValidation type="list" allowBlank="1" showInputMessage="1" showErrorMessage="1" sqref="G46:H46" xr:uid="{00000000-0002-0000-0400-000011000000}">
      <formula1>IF(Q154=0,$G$46,IF($Q$154&lt;2020,$T$171,IF($Q$154&lt;3010,$W$149:$W$150,IF($Q$154=3010,$T$171,IF($Q$154=3020,$W$149:$W$150,$T$171)))))</formula1>
    </dataValidation>
    <dataValidation type="list" allowBlank="1" showInputMessage="1" showErrorMessage="1" sqref="G47:H47" xr:uid="{00000000-0002-0000-0400-000012000000}">
      <formula1>IF(Q154=0,$G$47,IF($Q$154&lt;2020,$T$171,IF($Q$154&lt;3010,$W$152:$W$153,IF($Q$154=3010,$T$171,IF($Q$154=3020,$W$152:$W$153,$T$171)))))</formula1>
    </dataValidation>
    <dataValidation type="decimal" allowBlank="1" showInputMessage="1" showErrorMessage="1" error="Należy wprowadzić prawidłową wartość współczynnika przenikania U" sqref="G12:G23" xr:uid="{00000000-0002-0000-0400-000015000000}">
      <formula1>0</formula1>
      <formula2>10</formula2>
    </dataValidation>
    <dataValidation type="decimal" allowBlank="1" showInputMessage="1" showErrorMessage="1" sqref="G24" xr:uid="{00000000-0002-0000-0400-000016000000}">
      <formula1>0</formula1>
      <formula2>10</formula2>
    </dataValidation>
    <dataValidation type="decimal" operator="greaterThan" allowBlank="1" showInputMessage="1" showErrorMessage="1" error="Należy wprowadzić prawidłową wartość współczynnika przenikania U" sqref="H12:H24" xr:uid="{0ADA6122-A89E-4CEB-82B1-A66642C25D4F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&amp;C&amp;"-,Standardowy"Strona &amp;P z &amp;N&amp;R&amp;"-,Standardowy"&amp;8v2022-1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199"/>
  <sheetViews>
    <sheetView view="pageBreakPreview" zoomScaleNormal="100" zoomScaleSheetLayoutView="100" workbookViewId="0">
      <selection sqref="A1:O1"/>
    </sheetView>
  </sheetViews>
  <sheetFormatPr defaultRowHeight="14.25"/>
  <cols>
    <col min="1" max="1" width="3.625" style="1" customWidth="1"/>
    <col min="2" max="2" width="6.125" style="1" customWidth="1"/>
    <col min="3" max="5" width="6.75" style="1" customWidth="1"/>
    <col min="6" max="6" width="5.375" style="1" customWidth="1"/>
    <col min="7" max="7" width="4.5" style="1" customWidth="1"/>
    <col min="8" max="8" width="4.625" style="1" customWidth="1"/>
    <col min="9" max="10" width="3.625" style="1" customWidth="1"/>
    <col min="11" max="11" width="4.75" style="1" customWidth="1"/>
    <col min="12" max="12" width="5.375" style="1" customWidth="1"/>
    <col min="13" max="13" width="3.5" style="1" customWidth="1"/>
    <col min="14" max="20" width="3.625" style="1" customWidth="1"/>
    <col min="21" max="16384" width="9" style="1"/>
  </cols>
  <sheetData>
    <row r="1" spans="1:57" ht="15">
      <c r="A1" s="374" t="s">
        <v>272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57" ht="17.25">
      <c r="A2" s="375" t="s">
        <v>216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</row>
    <row r="3" spans="1:57" ht="15">
      <c r="A3" s="375" t="s">
        <v>262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</row>
    <row r="4" spans="1:57" ht="11.25" customHeight="1">
      <c r="A4" s="408" t="s">
        <v>380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139"/>
      <c r="Q4" s="139"/>
      <c r="R4" s="139"/>
      <c r="S4" s="139"/>
      <c r="T4" s="131"/>
      <c r="U4" s="139"/>
      <c r="V4" s="139"/>
      <c r="W4" s="139"/>
      <c r="X4" s="139"/>
      <c r="Y4" s="139"/>
      <c r="Z4" s="139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3"/>
      <c r="BA4" s="133"/>
      <c r="BB4" s="133"/>
      <c r="BC4" s="133"/>
      <c r="BD4" s="133"/>
      <c r="BE4" s="133"/>
    </row>
    <row r="5" spans="1:57" ht="45" customHeight="1">
      <c r="A5" s="456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</row>
    <row r="6" spans="1:57">
      <c r="A6" s="377" t="s">
        <v>273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</row>
    <row r="7" spans="1:57" ht="15">
      <c r="A7" s="164" t="s">
        <v>274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</row>
    <row r="8" spans="1:57" ht="3.75" customHeight="1"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</row>
    <row r="9" spans="1:57">
      <c r="A9" s="457" t="s">
        <v>186</v>
      </c>
      <c r="B9" s="457"/>
      <c r="C9" s="457"/>
      <c r="D9" s="457"/>
      <c r="E9" s="457"/>
      <c r="F9" s="458" t="s">
        <v>275</v>
      </c>
      <c r="G9" s="459"/>
      <c r="H9" s="459"/>
      <c r="I9" s="459"/>
      <c r="J9" s="460"/>
      <c r="K9" s="458" t="s">
        <v>276</v>
      </c>
      <c r="L9" s="459"/>
      <c r="M9" s="459"/>
      <c r="N9" s="459"/>
      <c r="O9" s="460"/>
    </row>
    <row r="10" spans="1:57" ht="26.25" customHeight="1">
      <c r="A10" s="421" t="s">
        <v>277</v>
      </c>
      <c r="B10" s="422"/>
      <c r="C10" s="422"/>
      <c r="D10" s="422"/>
      <c r="E10" s="423"/>
      <c r="F10" s="464"/>
      <c r="G10" s="465"/>
      <c r="H10" s="465"/>
      <c r="I10" s="465"/>
      <c r="J10" s="466"/>
      <c r="K10" s="464"/>
      <c r="L10" s="465"/>
      <c r="M10" s="465"/>
      <c r="N10" s="465"/>
      <c r="O10" s="466"/>
    </row>
    <row r="11" spans="1:57" ht="15" customHeight="1">
      <c r="A11" s="461" t="s">
        <v>344</v>
      </c>
      <c r="B11" s="461"/>
      <c r="C11" s="461"/>
      <c r="D11" s="461"/>
      <c r="E11" s="461"/>
      <c r="F11" s="462"/>
      <c r="G11" s="462"/>
      <c r="H11" s="462"/>
      <c r="I11" s="462"/>
      <c r="J11" s="462"/>
      <c r="K11" s="462"/>
      <c r="L11" s="462"/>
      <c r="M11" s="462"/>
      <c r="N11" s="462"/>
      <c r="O11" s="462"/>
    </row>
    <row r="12" spans="1:57" ht="15" hidden="1" customHeight="1">
      <c r="A12" s="461" t="s">
        <v>339</v>
      </c>
      <c r="B12" s="461"/>
      <c r="C12" s="461"/>
      <c r="D12" s="461"/>
      <c r="E12" s="461"/>
      <c r="F12" s="462"/>
      <c r="G12" s="462"/>
      <c r="H12" s="462"/>
      <c r="I12" s="462"/>
      <c r="J12" s="462"/>
      <c r="K12" s="462"/>
      <c r="L12" s="462"/>
      <c r="M12" s="462"/>
      <c r="N12" s="462"/>
      <c r="O12" s="462"/>
    </row>
    <row r="13" spans="1:57" ht="15" customHeight="1">
      <c r="A13" s="463" t="s">
        <v>278</v>
      </c>
      <c r="B13" s="463"/>
      <c r="C13" s="463"/>
      <c r="D13" s="463"/>
      <c r="E13" s="463"/>
      <c r="F13" s="462"/>
      <c r="G13" s="462"/>
      <c r="H13" s="462"/>
      <c r="I13" s="462"/>
      <c r="J13" s="462"/>
      <c r="K13" s="462"/>
      <c r="L13" s="462"/>
      <c r="M13" s="462"/>
      <c r="N13" s="462"/>
      <c r="O13" s="462"/>
    </row>
    <row r="14" spans="1:57" ht="15" customHeight="1">
      <c r="A14" s="421" t="s">
        <v>279</v>
      </c>
      <c r="B14" s="422"/>
      <c r="C14" s="422"/>
      <c r="D14" s="422"/>
      <c r="E14" s="423"/>
      <c r="F14" s="462"/>
      <c r="G14" s="462"/>
      <c r="H14" s="462"/>
      <c r="I14" s="462"/>
      <c r="J14" s="462"/>
      <c r="K14" s="462"/>
      <c r="L14" s="462"/>
      <c r="M14" s="462"/>
      <c r="N14" s="462"/>
      <c r="O14" s="462"/>
    </row>
    <row r="15" spans="1:57" ht="14.25" customHeight="1">
      <c r="A15" s="470" t="s">
        <v>369</v>
      </c>
      <c r="B15" s="471"/>
      <c r="C15" s="471"/>
      <c r="D15" s="471"/>
      <c r="E15" s="472"/>
      <c r="F15" s="484"/>
      <c r="G15" s="485"/>
      <c r="H15" s="485"/>
      <c r="I15" s="485"/>
      <c r="J15" s="486"/>
      <c r="K15" s="462"/>
      <c r="L15" s="462"/>
      <c r="M15" s="462"/>
      <c r="N15" s="462"/>
      <c r="O15" s="462"/>
    </row>
    <row r="16" spans="1:57" ht="43.5" customHeight="1">
      <c r="A16" s="473"/>
      <c r="B16" s="474"/>
      <c r="C16" s="474"/>
      <c r="D16" s="474"/>
      <c r="E16" s="475"/>
      <c r="F16" s="487"/>
      <c r="G16" s="488"/>
      <c r="H16" s="488"/>
      <c r="I16" s="488"/>
      <c r="J16" s="489"/>
      <c r="K16" s="490" t="s">
        <v>325</v>
      </c>
      <c r="L16" s="491"/>
      <c r="M16" s="214" t="s">
        <v>370</v>
      </c>
      <c r="N16" s="492" t="e">
        <f>(F15-K15)/F15</f>
        <v>#DIV/0!</v>
      </c>
      <c r="O16" s="493"/>
    </row>
    <row r="17" spans="1:15">
      <c r="A17" s="166"/>
      <c r="B17" s="226"/>
      <c r="C17" s="226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</row>
    <row r="18" spans="1:15" ht="15">
      <c r="A18" s="158" t="s">
        <v>326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165"/>
    </row>
    <row r="19" spans="1:15" ht="4.5" customHeight="1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165"/>
    </row>
    <row r="20" spans="1:15" ht="28.5" customHeight="1">
      <c r="A20" s="476" t="s">
        <v>265</v>
      </c>
      <c r="B20" s="447" t="s">
        <v>363</v>
      </c>
      <c r="C20" s="448"/>
      <c r="D20" s="449"/>
      <c r="E20" s="411" t="s">
        <v>266</v>
      </c>
      <c r="F20" s="411"/>
      <c r="G20" s="411"/>
      <c r="H20" s="411"/>
      <c r="I20" s="411"/>
      <c r="J20" s="444" t="s">
        <v>362</v>
      </c>
      <c r="K20" s="445"/>
      <c r="L20" s="445"/>
      <c r="M20" s="445"/>
      <c r="N20" s="445"/>
      <c r="O20" s="446"/>
    </row>
    <row r="21" spans="1:15">
      <c r="A21" s="477"/>
      <c r="B21" s="478"/>
      <c r="C21" s="479"/>
      <c r="D21" s="480"/>
      <c r="E21" s="411" t="s">
        <v>386</v>
      </c>
      <c r="F21" s="411"/>
      <c r="G21" s="384" t="s">
        <v>385</v>
      </c>
      <c r="H21" s="384"/>
      <c r="I21" s="384"/>
      <c r="J21" s="497" t="s">
        <v>136</v>
      </c>
      <c r="K21" s="498"/>
      <c r="L21" s="499"/>
      <c r="M21" s="481" t="s">
        <v>137</v>
      </c>
      <c r="N21" s="482"/>
      <c r="O21" s="483"/>
    </row>
    <row r="22" spans="1:15" ht="15" customHeight="1">
      <c r="A22" s="227">
        <v>1</v>
      </c>
      <c r="B22" s="470" t="s">
        <v>359</v>
      </c>
      <c r="C22" s="471"/>
      <c r="D22" s="472"/>
      <c r="E22" s="468"/>
      <c r="F22" s="469"/>
      <c r="G22" s="494" t="s">
        <v>379</v>
      </c>
      <c r="H22" s="495"/>
      <c r="I22" s="496"/>
      <c r="J22" s="467"/>
      <c r="K22" s="468"/>
      <c r="L22" s="469"/>
      <c r="M22" s="467"/>
      <c r="N22" s="468"/>
      <c r="O22" s="469"/>
    </row>
    <row r="23" spans="1:15" ht="15" customHeight="1">
      <c r="A23" s="209"/>
      <c r="B23" s="282"/>
      <c r="C23" s="283"/>
      <c r="D23" s="284"/>
      <c r="E23" s="468"/>
      <c r="F23" s="469"/>
      <c r="G23" s="494" t="s">
        <v>379</v>
      </c>
      <c r="H23" s="495"/>
      <c r="I23" s="496"/>
      <c r="J23" s="467"/>
      <c r="K23" s="468"/>
      <c r="L23" s="469"/>
      <c r="M23" s="467"/>
      <c r="N23" s="468"/>
      <c r="O23" s="469"/>
    </row>
    <row r="24" spans="1:15" ht="15" customHeight="1">
      <c r="A24" s="209"/>
      <c r="B24" s="282"/>
      <c r="C24" s="283"/>
      <c r="D24" s="284"/>
      <c r="E24" s="468"/>
      <c r="F24" s="469"/>
      <c r="G24" s="494" t="s">
        <v>379</v>
      </c>
      <c r="H24" s="495"/>
      <c r="I24" s="496"/>
      <c r="J24" s="467"/>
      <c r="K24" s="468"/>
      <c r="L24" s="469"/>
      <c r="M24" s="467"/>
      <c r="N24" s="468"/>
      <c r="O24" s="469"/>
    </row>
    <row r="25" spans="1:15" ht="15" customHeight="1">
      <c r="A25" s="209"/>
      <c r="B25" s="64"/>
      <c r="C25" s="283"/>
      <c r="D25" s="284"/>
      <c r="E25" s="468"/>
      <c r="F25" s="469"/>
      <c r="G25" s="494" t="s">
        <v>379</v>
      </c>
      <c r="H25" s="495"/>
      <c r="I25" s="496"/>
      <c r="J25" s="467"/>
      <c r="K25" s="468"/>
      <c r="L25" s="469"/>
      <c r="M25" s="467"/>
      <c r="N25" s="468"/>
      <c r="O25" s="469"/>
    </row>
    <row r="26" spans="1:15" ht="15" customHeight="1">
      <c r="A26" s="228"/>
      <c r="B26" s="289" t="s">
        <v>381</v>
      </c>
      <c r="C26" s="67"/>
      <c r="D26" s="290">
        <f>SUM(E22:F26)</f>
        <v>0</v>
      </c>
      <c r="E26" s="468"/>
      <c r="F26" s="469"/>
      <c r="G26" s="494" t="s">
        <v>379</v>
      </c>
      <c r="H26" s="495"/>
      <c r="I26" s="496"/>
      <c r="J26" s="467"/>
      <c r="K26" s="468"/>
      <c r="L26" s="469"/>
      <c r="M26" s="467"/>
      <c r="N26" s="468"/>
      <c r="O26" s="469"/>
    </row>
    <row r="27" spans="1:15" ht="15" customHeight="1">
      <c r="A27" s="209">
        <v>2</v>
      </c>
      <c r="B27" s="512" t="s">
        <v>360</v>
      </c>
      <c r="C27" s="513"/>
      <c r="D27" s="514"/>
      <c r="E27" s="468"/>
      <c r="F27" s="469"/>
      <c r="G27" s="494" t="s">
        <v>379</v>
      </c>
      <c r="H27" s="495"/>
      <c r="I27" s="496"/>
      <c r="J27" s="467"/>
      <c r="K27" s="468"/>
      <c r="L27" s="469"/>
      <c r="M27" s="467"/>
      <c r="N27" s="468"/>
      <c r="O27" s="469"/>
    </row>
    <row r="28" spans="1:15" ht="15" customHeight="1">
      <c r="A28" s="209"/>
      <c r="B28" s="64"/>
      <c r="C28" s="283"/>
      <c r="D28" s="284"/>
      <c r="E28" s="468"/>
      <c r="F28" s="469"/>
      <c r="G28" s="494" t="s">
        <v>379</v>
      </c>
      <c r="H28" s="495"/>
      <c r="I28" s="496"/>
      <c r="J28" s="467"/>
      <c r="K28" s="468"/>
      <c r="L28" s="469"/>
      <c r="M28" s="467"/>
      <c r="N28" s="468"/>
      <c r="O28" s="469"/>
    </row>
    <row r="29" spans="1:15" ht="15" customHeight="1">
      <c r="A29" s="228"/>
      <c r="B29" s="289" t="s">
        <v>381</v>
      </c>
      <c r="C29" s="67"/>
      <c r="D29" s="290">
        <f>SUM(E27:F29)</f>
        <v>0</v>
      </c>
      <c r="E29" s="468"/>
      <c r="F29" s="469"/>
      <c r="G29" s="494" t="s">
        <v>379</v>
      </c>
      <c r="H29" s="495"/>
      <c r="I29" s="496"/>
      <c r="J29" s="467"/>
      <c r="K29" s="468"/>
      <c r="L29" s="469"/>
      <c r="M29" s="467"/>
      <c r="N29" s="468"/>
      <c r="O29" s="469"/>
    </row>
    <row r="30" spans="1:15" ht="30" customHeight="1">
      <c r="A30" s="209">
        <v>3</v>
      </c>
      <c r="B30" s="512" t="s">
        <v>382</v>
      </c>
      <c r="C30" s="513"/>
      <c r="D30" s="514"/>
      <c r="E30" s="468"/>
      <c r="F30" s="469"/>
      <c r="G30" s="467"/>
      <c r="H30" s="468"/>
      <c r="I30" s="469"/>
      <c r="J30" s="467"/>
      <c r="K30" s="468"/>
      <c r="L30" s="469"/>
      <c r="M30" s="467"/>
      <c r="N30" s="468"/>
      <c r="O30" s="469"/>
    </row>
    <row r="31" spans="1:15" ht="30" customHeight="1">
      <c r="A31" s="228"/>
      <c r="B31" s="289"/>
      <c r="C31" s="285">
        <f>SUM(E30:F31)</f>
        <v>0</v>
      </c>
      <c r="D31" s="290">
        <f>SUM(G30:I31)</f>
        <v>0</v>
      </c>
      <c r="E31" s="468"/>
      <c r="F31" s="469"/>
      <c r="G31" s="467"/>
      <c r="H31" s="468"/>
      <c r="I31" s="469"/>
      <c r="J31" s="467"/>
      <c r="K31" s="468"/>
      <c r="L31" s="469"/>
      <c r="M31" s="467"/>
      <c r="N31" s="468"/>
      <c r="O31" s="469"/>
    </row>
    <row r="32" spans="1:15" ht="30" customHeight="1">
      <c r="A32" s="209">
        <v>4</v>
      </c>
      <c r="B32" s="512" t="s">
        <v>383</v>
      </c>
      <c r="C32" s="513"/>
      <c r="D32" s="514"/>
      <c r="E32" s="468"/>
      <c r="F32" s="469"/>
      <c r="G32" s="467"/>
      <c r="H32" s="468"/>
      <c r="I32" s="469"/>
      <c r="J32" s="467"/>
      <c r="K32" s="468"/>
      <c r="L32" s="469"/>
      <c r="M32" s="467"/>
      <c r="N32" s="468"/>
      <c r="O32" s="469"/>
    </row>
    <row r="33" spans="1:15" ht="30" customHeight="1">
      <c r="A33" s="33"/>
      <c r="B33" s="289"/>
      <c r="C33" s="285">
        <f>SUM(E32:F33)</f>
        <v>0</v>
      </c>
      <c r="D33" s="290">
        <f>SUM(G32:I33)</f>
        <v>0</v>
      </c>
      <c r="E33" s="468"/>
      <c r="F33" s="469"/>
      <c r="G33" s="467"/>
      <c r="H33" s="468"/>
      <c r="I33" s="469"/>
      <c r="J33" s="467"/>
      <c r="K33" s="468"/>
      <c r="L33" s="469"/>
      <c r="M33" s="467"/>
      <c r="N33" s="468"/>
      <c r="O33" s="469"/>
    </row>
    <row r="34" spans="1:15" ht="30" customHeight="1">
      <c r="A34" s="206">
        <v>5</v>
      </c>
      <c r="B34" s="515"/>
      <c r="C34" s="515"/>
      <c r="D34" s="515"/>
      <c r="E34" s="468"/>
      <c r="F34" s="469"/>
      <c r="G34" s="467"/>
      <c r="H34" s="468"/>
      <c r="I34" s="469"/>
      <c r="J34" s="467"/>
      <c r="K34" s="468"/>
      <c r="L34" s="469"/>
      <c r="M34" s="467"/>
      <c r="N34" s="468"/>
      <c r="O34" s="469"/>
    </row>
    <row r="35" spans="1:15" ht="9" customHeight="1"/>
    <row r="36" spans="1:15" hidden="1"/>
    <row r="37" spans="1:15" hidden="1">
      <c r="A37" s="231"/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165"/>
    </row>
    <row r="38" spans="1:15" ht="15">
      <c r="A38" s="158" t="s">
        <v>327</v>
      </c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165"/>
    </row>
    <row r="39" spans="1:15" ht="2.25" customHeight="1">
      <c r="A39" s="231"/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165"/>
    </row>
    <row r="40" spans="1:15" ht="40.5" customHeight="1">
      <c r="A40" s="232" t="s">
        <v>265</v>
      </c>
      <c r="B40" s="509" t="s">
        <v>364</v>
      </c>
      <c r="C40" s="510"/>
      <c r="D40" s="511"/>
      <c r="E40" s="384" t="s">
        <v>268</v>
      </c>
      <c r="F40" s="384"/>
      <c r="G40" s="384"/>
      <c r="H40" s="384"/>
      <c r="I40" s="384"/>
      <c r="J40" s="384"/>
      <c r="K40" s="384"/>
      <c r="L40" s="384"/>
      <c r="M40" s="384"/>
      <c r="N40" s="384"/>
      <c r="O40" s="384"/>
    </row>
    <row r="41" spans="1:15" ht="43.5" customHeight="1">
      <c r="A41" s="229">
        <v>6</v>
      </c>
      <c r="B41" s="395" t="s">
        <v>373</v>
      </c>
      <c r="C41" s="508"/>
      <c r="D41" s="396"/>
      <c r="E41" s="467"/>
      <c r="F41" s="468"/>
      <c r="G41" s="468"/>
      <c r="H41" s="468"/>
      <c r="I41" s="468"/>
      <c r="J41" s="468"/>
      <c r="K41" s="468"/>
      <c r="L41" s="468"/>
      <c r="M41" s="468"/>
      <c r="N41" s="468"/>
      <c r="O41" s="469"/>
    </row>
    <row r="42" spans="1:15" ht="43.5" customHeight="1">
      <c r="A42" s="229">
        <v>7</v>
      </c>
      <c r="B42" s="385" t="s">
        <v>374</v>
      </c>
      <c r="C42" s="420"/>
      <c r="D42" s="386"/>
      <c r="E42" s="467"/>
      <c r="F42" s="468"/>
      <c r="G42" s="468"/>
      <c r="H42" s="468"/>
      <c r="I42" s="468"/>
      <c r="J42" s="468"/>
      <c r="K42" s="468"/>
      <c r="L42" s="468"/>
      <c r="M42" s="468"/>
      <c r="N42" s="468"/>
      <c r="O42" s="469"/>
    </row>
    <row r="43" spans="1:15" ht="43.5" customHeight="1">
      <c r="A43" s="229">
        <v>8</v>
      </c>
      <c r="B43" s="385" t="s">
        <v>375</v>
      </c>
      <c r="C43" s="420"/>
      <c r="D43" s="386"/>
      <c r="E43" s="467"/>
      <c r="F43" s="468"/>
      <c r="G43" s="468"/>
      <c r="H43" s="468"/>
      <c r="I43" s="468"/>
      <c r="J43" s="468"/>
      <c r="K43" s="468"/>
      <c r="L43" s="468"/>
      <c r="M43" s="468"/>
      <c r="N43" s="468"/>
      <c r="O43" s="469"/>
    </row>
    <row r="44" spans="1:15" ht="43.5" customHeight="1">
      <c r="A44" s="229">
        <v>9</v>
      </c>
      <c r="B44" s="385" t="s">
        <v>355</v>
      </c>
      <c r="C44" s="420"/>
      <c r="D44" s="386"/>
      <c r="E44" s="467"/>
      <c r="F44" s="468"/>
      <c r="G44" s="468"/>
      <c r="H44" s="468"/>
      <c r="I44" s="468"/>
      <c r="J44" s="468"/>
      <c r="K44" s="468"/>
      <c r="L44" s="468"/>
      <c r="M44" s="468"/>
      <c r="N44" s="468"/>
      <c r="O44" s="469"/>
    </row>
    <row r="45" spans="1:15" ht="43.5" customHeight="1">
      <c r="A45" s="229">
        <v>10</v>
      </c>
      <c r="B45" s="385" t="s">
        <v>269</v>
      </c>
      <c r="C45" s="420"/>
      <c r="D45" s="386"/>
      <c r="E45" s="467"/>
      <c r="F45" s="468"/>
      <c r="G45" s="468"/>
      <c r="H45" s="468"/>
      <c r="I45" s="468"/>
      <c r="J45" s="468"/>
      <c r="K45" s="468"/>
      <c r="L45" s="468"/>
      <c r="M45" s="468"/>
      <c r="N45" s="468"/>
      <c r="O45" s="469"/>
    </row>
    <row r="46" spans="1:15" ht="43.5" customHeight="1">
      <c r="A46" s="229">
        <v>11</v>
      </c>
      <c r="B46" s="385" t="s">
        <v>270</v>
      </c>
      <c r="C46" s="420"/>
      <c r="D46" s="386"/>
      <c r="E46" s="467"/>
      <c r="F46" s="468"/>
      <c r="G46" s="468"/>
      <c r="H46" s="468"/>
      <c r="I46" s="468"/>
      <c r="J46" s="468"/>
      <c r="K46" s="468"/>
      <c r="L46" s="468"/>
      <c r="M46" s="468"/>
      <c r="N46" s="468"/>
      <c r="O46" s="469"/>
    </row>
    <row r="47" spans="1:15" ht="43.5" customHeight="1">
      <c r="A47" s="162">
        <v>12</v>
      </c>
      <c r="B47" s="505" t="s">
        <v>296</v>
      </c>
      <c r="C47" s="506"/>
      <c r="D47" s="507"/>
      <c r="E47" s="467"/>
      <c r="F47" s="468"/>
      <c r="G47" s="468"/>
      <c r="H47" s="468"/>
      <c r="I47" s="468"/>
      <c r="J47" s="468"/>
      <c r="K47" s="468"/>
      <c r="L47" s="468"/>
      <c r="M47" s="468"/>
      <c r="N47" s="468"/>
      <c r="O47" s="469"/>
    </row>
    <row r="48" spans="1:15">
      <c r="A48" s="257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165"/>
    </row>
    <row r="49" spans="1:15" ht="18">
      <c r="A49" s="245" t="s">
        <v>356</v>
      </c>
      <c r="B49" s="245"/>
      <c r="C49" s="245"/>
      <c r="D49" s="245"/>
      <c r="E49" s="243"/>
      <c r="F49" s="243"/>
      <c r="G49" s="243"/>
      <c r="H49" s="243"/>
      <c r="I49" s="243"/>
      <c r="J49" s="243"/>
      <c r="K49" s="243"/>
      <c r="L49" s="243"/>
      <c r="M49" s="243"/>
      <c r="N49" s="243"/>
    </row>
    <row r="50" spans="1:15" ht="3.75" customHeight="1">
      <c r="A50" s="243"/>
      <c r="B50" s="243"/>
      <c r="C50" s="243"/>
      <c r="D50" s="243"/>
      <c r="E50" s="243"/>
      <c r="F50" s="243"/>
      <c r="G50" s="243"/>
      <c r="H50" s="243"/>
      <c r="I50" s="243"/>
      <c r="J50" s="243"/>
      <c r="K50" s="243"/>
    </row>
    <row r="51" spans="1:15">
      <c r="A51" s="258" t="s">
        <v>186</v>
      </c>
      <c r="B51" s="259"/>
      <c r="C51" s="259"/>
      <c r="D51" s="259"/>
      <c r="E51" s="260"/>
      <c r="F51" s="373" t="s">
        <v>187</v>
      </c>
      <c r="G51" s="373"/>
      <c r="H51" s="373"/>
      <c r="I51" s="373"/>
      <c r="J51" s="373"/>
      <c r="K51" s="373" t="s">
        <v>126</v>
      </c>
      <c r="L51" s="373"/>
      <c r="M51" s="373"/>
      <c r="N51" s="373"/>
      <c r="O51" s="373"/>
    </row>
    <row r="52" spans="1:15" ht="42.75" customHeight="1">
      <c r="A52" s="420" t="s">
        <v>280</v>
      </c>
      <c r="B52" s="420"/>
      <c r="C52" s="420"/>
      <c r="D52" s="420"/>
      <c r="E52" s="386"/>
      <c r="F52" s="521"/>
      <c r="G52" s="522"/>
      <c r="H52" s="522"/>
      <c r="I52" s="522"/>
      <c r="J52" s="523"/>
      <c r="K52" s="521"/>
      <c r="L52" s="522"/>
      <c r="M52" s="522"/>
      <c r="N52" s="522"/>
      <c r="O52" s="523"/>
    </row>
    <row r="53" spans="1:15" ht="23.25" customHeight="1">
      <c r="A53" s="261" t="s">
        <v>231</v>
      </c>
      <c r="B53" s="46"/>
      <c r="C53" s="46"/>
      <c r="D53" s="46"/>
      <c r="E53" s="262"/>
      <c r="F53" s="519"/>
      <c r="G53" s="519"/>
      <c r="H53" s="519"/>
      <c r="I53" s="519"/>
      <c r="J53" s="519"/>
      <c r="K53" s="519"/>
      <c r="L53" s="519"/>
      <c r="M53" s="519"/>
      <c r="N53" s="519"/>
      <c r="O53" s="519"/>
    </row>
    <row r="54" spans="1:15">
      <c r="A54" s="263" t="s">
        <v>281</v>
      </c>
      <c r="B54" s="264"/>
      <c r="C54" s="264"/>
      <c r="D54" s="264"/>
      <c r="E54" s="265"/>
      <c r="F54" s="403">
        <f>F15</f>
        <v>0</v>
      </c>
      <c r="G54" s="403"/>
      <c r="H54" s="403"/>
      <c r="I54" s="403"/>
      <c r="J54" s="403"/>
      <c r="K54" s="520">
        <f>K15</f>
        <v>0</v>
      </c>
      <c r="L54" s="520"/>
      <c r="M54" s="520"/>
      <c r="N54" s="520"/>
      <c r="O54" s="520"/>
    </row>
    <row r="55" spans="1:15">
      <c r="A55" s="258" t="s">
        <v>247</v>
      </c>
      <c r="B55" s="259"/>
      <c r="C55" s="259"/>
      <c r="D55" s="259"/>
      <c r="E55" s="260"/>
      <c r="F55" s="373" t="str">
        <f>IF(F53&lt;&gt;"",VLOOKUP(H130,KOBIZE!T7:X57,5),"N/d")</f>
        <v>N/d</v>
      </c>
      <c r="G55" s="373"/>
      <c r="H55" s="373"/>
      <c r="I55" s="373"/>
      <c r="J55" s="373"/>
      <c r="K55" s="373" t="str">
        <f>IF(K53&lt;&gt;"",VLOOKUP(J130,KOBIZE!T7:X57,5),"N/d")</f>
        <v>N/d</v>
      </c>
      <c r="L55" s="373"/>
      <c r="M55" s="373"/>
      <c r="N55" s="373"/>
      <c r="O55" s="373"/>
    </row>
    <row r="57" spans="1:15">
      <c r="A57" s="435" t="s">
        <v>123</v>
      </c>
      <c r="B57" s="436"/>
      <c r="C57" s="436"/>
      <c r="D57" s="436"/>
      <c r="E57" s="437"/>
      <c r="F57" s="431" t="s">
        <v>124</v>
      </c>
      <c r="G57" s="432"/>
      <c r="H57" s="432"/>
      <c r="I57" s="432"/>
      <c r="J57" s="432"/>
      <c r="K57" s="433"/>
      <c r="L57" s="516" t="s">
        <v>125</v>
      </c>
      <c r="M57" s="517"/>
      <c r="N57" s="517"/>
      <c r="O57" s="518"/>
    </row>
    <row r="58" spans="1:15">
      <c r="A58" s="438"/>
      <c r="B58" s="439"/>
      <c r="C58" s="439"/>
      <c r="D58" s="439"/>
      <c r="E58" s="440"/>
      <c r="F58" s="431" t="s">
        <v>132</v>
      </c>
      <c r="G58" s="432"/>
      <c r="H58" s="433"/>
      <c r="I58" s="431" t="s">
        <v>126</v>
      </c>
      <c r="J58" s="432"/>
      <c r="K58" s="433"/>
      <c r="L58" s="431" t="s">
        <v>127</v>
      </c>
      <c r="M58" s="433"/>
      <c r="N58" s="431" t="s">
        <v>128</v>
      </c>
      <c r="O58" s="433"/>
    </row>
    <row r="59" spans="1:15">
      <c r="A59" s="405">
        <v>1</v>
      </c>
      <c r="B59" s="429"/>
      <c r="C59" s="429"/>
      <c r="D59" s="429"/>
      <c r="E59" s="406"/>
      <c r="F59" s="405">
        <v>2</v>
      </c>
      <c r="G59" s="429"/>
      <c r="H59" s="406"/>
      <c r="I59" s="405">
        <v>3</v>
      </c>
      <c r="J59" s="429"/>
      <c r="K59" s="406"/>
      <c r="L59" s="503">
        <v>4</v>
      </c>
      <c r="M59" s="504"/>
      <c r="N59" s="503">
        <v>5</v>
      </c>
      <c r="O59" s="504"/>
    </row>
    <row r="60" spans="1:15">
      <c r="A60" s="385" t="s">
        <v>282</v>
      </c>
      <c r="B60" s="420"/>
      <c r="C60" s="420"/>
      <c r="D60" s="420"/>
      <c r="E60" s="386"/>
      <c r="F60" s="453" t="str">
        <f>IF(F55&lt;&gt;"N/d",F55*F54,"")</f>
        <v/>
      </c>
      <c r="G60" s="453"/>
      <c r="H60" s="453"/>
      <c r="I60" s="453" t="str">
        <f>IF(K55&lt;&gt;"N/d",K55*K54,"")</f>
        <v/>
      </c>
      <c r="J60" s="453"/>
      <c r="K60" s="453"/>
      <c r="L60" s="454" t="str">
        <f>IF(F60&lt;&gt;"",F60-I60,"N/d")</f>
        <v>N/d</v>
      </c>
      <c r="M60" s="455"/>
      <c r="N60" s="397" t="str">
        <f>IF(F60&lt;&gt;"",(L60/F60)*100,"N/d")</f>
        <v>N/d</v>
      </c>
      <c r="O60" s="398"/>
    </row>
    <row r="62" spans="1:15">
      <c r="A62" s="243"/>
      <c r="B62" s="243"/>
      <c r="C62" s="243"/>
      <c r="D62" s="243"/>
      <c r="E62" s="266"/>
      <c r="F62" s="266"/>
      <c r="G62" s="266"/>
      <c r="H62" s="266"/>
      <c r="I62" s="266"/>
      <c r="J62" s="266"/>
      <c r="K62" s="266"/>
      <c r="L62" s="266"/>
      <c r="M62" s="266"/>
      <c r="N62" s="266"/>
    </row>
    <row r="63" spans="1:15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243"/>
      <c r="N63" s="243"/>
    </row>
    <row r="64" spans="1:15">
      <c r="A64" s="267"/>
      <c r="B64" s="267"/>
      <c r="C64" s="267"/>
      <c r="D64" s="267"/>
      <c r="E64" s="267"/>
      <c r="F64" s="267"/>
      <c r="G64" s="267"/>
      <c r="H64" s="267"/>
      <c r="I64" s="267"/>
      <c r="J64" s="267"/>
      <c r="K64" s="267"/>
      <c r="M64" s="190"/>
      <c r="N64" s="190"/>
    </row>
    <row r="65" spans="1:17">
      <c r="A65" s="268"/>
      <c r="B65" s="268"/>
      <c r="C65" s="268"/>
      <c r="D65" s="268"/>
      <c r="E65" s="268"/>
    </row>
    <row r="66" spans="1:17">
      <c r="A66" s="269"/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N66" s="269"/>
    </row>
    <row r="67" spans="1:17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P67" s="191"/>
      <c r="Q67" s="191"/>
    </row>
    <row r="68" spans="1:17" hidden="1">
      <c r="A68" s="266"/>
      <c r="B68" s="266"/>
      <c r="C68" s="266"/>
      <c r="D68" s="266"/>
      <c r="E68" s="266"/>
      <c r="F68" s="270"/>
      <c r="G68" s="270"/>
      <c r="H68" s="168"/>
      <c r="I68" s="168"/>
      <c r="J68" s="168"/>
      <c r="N68" s="175"/>
    </row>
    <row r="69" spans="1:17" hidden="1">
      <c r="A69" s="252"/>
      <c r="B69" s="252"/>
      <c r="C69" s="252"/>
      <c r="D69" s="252"/>
      <c r="E69" s="252"/>
      <c r="F69" s="271"/>
      <c r="G69" s="271"/>
      <c r="H69" s="252"/>
      <c r="I69" s="252"/>
      <c r="J69" s="252"/>
      <c r="N69" s="175"/>
    </row>
    <row r="70" spans="1:17" ht="15" hidden="1">
      <c r="A70" s="178"/>
      <c r="B70" s="178"/>
      <c r="C70" s="178"/>
      <c r="D70" s="178"/>
      <c r="E70" s="175"/>
      <c r="F70" s="175"/>
      <c r="G70" s="175"/>
      <c r="H70" s="175"/>
      <c r="I70" s="175"/>
      <c r="J70" s="175"/>
      <c r="K70" s="175"/>
      <c r="L70" s="175"/>
      <c r="M70" s="175"/>
      <c r="N70" s="175"/>
    </row>
    <row r="71" spans="1:17" ht="15" hidden="1">
      <c r="A71" s="178"/>
      <c r="B71" s="178"/>
      <c r="C71" s="178"/>
      <c r="D71" s="178"/>
      <c r="E71" s="175"/>
      <c r="F71" s="175"/>
      <c r="G71" s="175"/>
      <c r="H71" s="175"/>
      <c r="I71" s="175"/>
      <c r="J71" s="175"/>
      <c r="K71" s="175"/>
      <c r="L71" s="175"/>
      <c r="M71" s="175"/>
      <c r="N71" s="175"/>
    </row>
    <row r="72" spans="1:17" ht="15">
      <c r="A72" s="178"/>
      <c r="B72" s="178"/>
      <c r="C72" s="178"/>
      <c r="D72" s="178"/>
      <c r="E72" s="175"/>
      <c r="F72" s="175"/>
      <c r="G72" s="175"/>
      <c r="N72" s="175"/>
    </row>
    <row r="73" spans="1:17" ht="15">
      <c r="A73" s="178"/>
      <c r="F73" s="175"/>
      <c r="G73" s="175"/>
      <c r="N73" s="175"/>
    </row>
    <row r="74" spans="1:17" ht="15">
      <c r="A74" s="178"/>
      <c r="F74" s="175"/>
      <c r="G74" s="175"/>
      <c r="N74" s="175"/>
    </row>
    <row r="75" spans="1:17" ht="15">
      <c r="A75" s="178"/>
      <c r="B75" s="178"/>
      <c r="C75" s="178"/>
      <c r="D75" s="178"/>
      <c r="E75" s="175"/>
      <c r="F75" s="175"/>
      <c r="G75" s="175"/>
      <c r="H75" s="175"/>
      <c r="I75" s="175"/>
      <c r="J75" s="175"/>
      <c r="K75" s="175"/>
      <c r="L75" s="175"/>
      <c r="M75" s="175"/>
      <c r="N75" s="175"/>
    </row>
    <row r="76" spans="1:17" ht="15">
      <c r="A76" s="178"/>
      <c r="B76" s="178"/>
      <c r="C76" s="178"/>
      <c r="D76" s="178"/>
      <c r="E76" s="175"/>
      <c r="F76" s="175"/>
      <c r="G76" s="175"/>
      <c r="H76" s="272"/>
      <c r="I76" s="272"/>
      <c r="J76" s="272"/>
      <c r="K76" s="273"/>
      <c r="L76" s="272"/>
      <c r="M76" s="175"/>
      <c r="N76" s="175"/>
    </row>
    <row r="77" spans="1:17" ht="15">
      <c r="A77" s="178"/>
      <c r="B77" s="500">
        <f ca="1">TODAY()</f>
        <v>44550</v>
      </c>
      <c r="C77" s="500"/>
      <c r="D77" s="500"/>
      <c r="E77" s="500"/>
      <c r="H77" s="177" t="s">
        <v>209</v>
      </c>
      <c r="I77" s="175"/>
      <c r="J77" s="175"/>
      <c r="K77" s="175"/>
      <c r="M77" s="178"/>
    </row>
    <row r="78" spans="1:17" ht="15">
      <c r="A78" s="178"/>
      <c r="B78" s="501" t="s">
        <v>223</v>
      </c>
      <c r="C78" s="501"/>
      <c r="D78" s="501"/>
      <c r="E78" s="501"/>
      <c r="H78" s="179" t="s">
        <v>210</v>
      </c>
      <c r="I78" s="175"/>
      <c r="J78" s="175"/>
      <c r="K78" s="175"/>
      <c r="M78" s="178"/>
    </row>
    <row r="79" spans="1:17" ht="15">
      <c r="A79" s="178"/>
      <c r="B79" s="178"/>
      <c r="C79" s="178"/>
    </row>
    <row r="80" spans="1:17">
      <c r="A80" s="274" t="s">
        <v>283</v>
      </c>
    </row>
    <row r="81" spans="1:14" ht="27.75" customHeight="1">
      <c r="A81" s="502" t="s">
        <v>368</v>
      </c>
      <c r="B81" s="502"/>
      <c r="C81" s="502"/>
      <c r="D81" s="502"/>
      <c r="E81" s="502"/>
      <c r="F81" s="502"/>
      <c r="G81" s="502"/>
      <c r="H81" s="502"/>
      <c r="I81" s="502"/>
      <c r="J81" s="502"/>
      <c r="K81" s="502"/>
      <c r="L81" s="502"/>
      <c r="M81" s="502"/>
      <c r="N81" s="502"/>
    </row>
    <row r="83" spans="1:14" ht="15">
      <c r="A83" s="178"/>
      <c r="F83" s="175"/>
      <c r="G83" s="175"/>
      <c r="N83" s="175"/>
    </row>
    <row r="100" spans="1:23" hidden="1"/>
    <row r="101" spans="1:23" hidden="1"/>
    <row r="102" spans="1:23" hidden="1"/>
    <row r="103" spans="1:23" hidden="1"/>
    <row r="104" spans="1:23" hidden="1"/>
    <row r="105" spans="1:23" hidden="1"/>
    <row r="106" spans="1:23" hidden="1">
      <c r="A106" s="17"/>
      <c r="B106" s="17"/>
      <c r="C106" s="17"/>
      <c r="D106" s="17"/>
      <c r="E106" s="17"/>
      <c r="F106" s="17"/>
      <c r="G106" s="17"/>
      <c r="H106" s="336" t="s">
        <v>135</v>
      </c>
      <c r="I106" s="336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1:23" ht="15" hidden="1">
      <c r="A107" s="17"/>
      <c r="B107" s="17"/>
      <c r="C107" s="17"/>
      <c r="D107" s="17"/>
      <c r="E107" s="17"/>
      <c r="F107" s="17"/>
      <c r="G107" s="17"/>
      <c r="H107" s="20" t="s">
        <v>136</v>
      </c>
      <c r="I107" s="20" t="s">
        <v>137</v>
      </c>
      <c r="J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 t="s">
        <v>252</v>
      </c>
      <c r="V107" s="17" t="s">
        <v>252</v>
      </c>
      <c r="W107" s="17" t="s">
        <v>253</v>
      </c>
    </row>
    <row r="108" spans="1:23" ht="16.5" hidden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" t="s">
        <v>86</v>
      </c>
      <c r="V108" s="1" t="s">
        <v>258</v>
      </c>
      <c r="W108" s="1" t="s">
        <v>82</v>
      </c>
    </row>
    <row r="109" spans="1:23" hidden="1">
      <c r="A109" s="6">
        <v>1</v>
      </c>
      <c r="B109" s="7" t="s">
        <v>134</v>
      </c>
      <c r="D109" s="17"/>
      <c r="E109" s="73" t="s">
        <v>254</v>
      </c>
      <c r="F109" s="17"/>
      <c r="G109" s="17"/>
      <c r="H109" s="17" t="s">
        <v>138</v>
      </c>
      <c r="I109" s="17" t="s">
        <v>138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>
        <v>100</v>
      </c>
      <c r="T109" s="17" t="s">
        <v>139</v>
      </c>
      <c r="U109" s="17">
        <v>0</v>
      </c>
      <c r="V109" s="17">
        <v>0</v>
      </c>
      <c r="W109" s="17">
        <v>0</v>
      </c>
    </row>
    <row r="110" spans="1:23" hidden="1">
      <c r="A110" s="6">
        <v>2</v>
      </c>
      <c r="B110" s="7" t="s">
        <v>163</v>
      </c>
      <c r="D110" s="17"/>
      <c r="E110" s="156">
        <v>860</v>
      </c>
      <c r="F110" s="17"/>
      <c r="G110" s="17"/>
      <c r="H110" s="21" t="s">
        <v>114</v>
      </c>
      <c r="I110" s="19">
        <v>1</v>
      </c>
      <c r="J110" s="17">
        <v>0</v>
      </c>
      <c r="K110" s="18" t="s">
        <v>113</v>
      </c>
      <c r="L110" s="17"/>
      <c r="M110" s="18" t="s">
        <v>112</v>
      </c>
      <c r="N110" s="17"/>
      <c r="O110" s="21" t="s">
        <v>56</v>
      </c>
      <c r="P110" s="17"/>
      <c r="Q110" s="17">
        <v>1</v>
      </c>
      <c r="R110" s="17"/>
      <c r="S110" s="22"/>
      <c r="T110" s="21"/>
      <c r="U110" s="23"/>
      <c r="V110" s="23"/>
      <c r="W110" s="23"/>
    </row>
    <row r="111" spans="1:23" hidden="1">
      <c r="A111" s="6">
        <v>3</v>
      </c>
      <c r="B111" s="7" t="s">
        <v>18</v>
      </c>
      <c r="D111" s="17"/>
      <c r="E111" s="17"/>
      <c r="F111" s="17"/>
      <c r="G111" s="17"/>
      <c r="H111" s="21" t="s">
        <v>111</v>
      </c>
      <c r="I111" s="19">
        <v>2</v>
      </c>
      <c r="J111" s="17"/>
      <c r="K111" s="18" t="s">
        <v>110</v>
      </c>
      <c r="L111" s="17"/>
      <c r="M111" s="18" t="s">
        <v>109</v>
      </c>
      <c r="N111" s="17"/>
      <c r="O111" s="21" t="s">
        <v>55</v>
      </c>
      <c r="P111" s="17"/>
      <c r="Q111" s="17">
        <v>2</v>
      </c>
      <c r="R111" s="17"/>
      <c r="S111" s="22"/>
      <c r="T111" s="21"/>
      <c r="U111" s="23"/>
      <c r="V111" s="23"/>
      <c r="W111" s="23"/>
    </row>
    <row r="112" spans="1:23" hidden="1">
      <c r="A112" s="6">
        <v>4</v>
      </c>
      <c r="B112" s="7" t="s">
        <v>164</v>
      </c>
      <c r="D112" s="17"/>
      <c r="E112" s="17"/>
      <c r="F112" s="17"/>
      <c r="G112" s="17"/>
      <c r="H112" s="21" t="s">
        <v>108</v>
      </c>
      <c r="I112" s="19">
        <v>3</v>
      </c>
      <c r="J112" s="17"/>
      <c r="K112" s="18" t="s">
        <v>107</v>
      </c>
      <c r="L112" s="17"/>
      <c r="M112" s="18" t="s">
        <v>106</v>
      </c>
      <c r="N112" s="17"/>
      <c r="O112" s="21" t="s">
        <v>88</v>
      </c>
      <c r="P112" s="17"/>
      <c r="Q112" s="17">
        <v>1</v>
      </c>
      <c r="R112" s="17"/>
      <c r="S112" s="22"/>
      <c r="T112" s="21"/>
      <c r="U112" s="23"/>
      <c r="V112" s="23"/>
      <c r="W112" s="23"/>
    </row>
    <row r="113" spans="1:23" hidden="1">
      <c r="A113" s="6">
        <v>5</v>
      </c>
      <c r="B113" s="7" t="s">
        <v>168</v>
      </c>
      <c r="D113" s="17"/>
      <c r="E113" s="17"/>
      <c r="F113" s="17"/>
      <c r="G113" s="17"/>
      <c r="H113" s="21" t="s">
        <v>105</v>
      </c>
      <c r="I113" s="19">
        <v>4</v>
      </c>
      <c r="J113" s="17"/>
      <c r="K113" s="18" t="s">
        <v>104</v>
      </c>
      <c r="L113" s="17"/>
      <c r="M113" s="18" t="s">
        <v>103</v>
      </c>
      <c r="N113" s="17"/>
      <c r="O113" s="21" t="s">
        <v>87</v>
      </c>
      <c r="P113" s="17"/>
      <c r="Q113" s="17">
        <v>2</v>
      </c>
      <c r="R113" s="17"/>
      <c r="S113" s="22"/>
      <c r="T113" s="21"/>
      <c r="U113" s="23"/>
      <c r="V113" s="23"/>
      <c r="W113" s="23"/>
    </row>
    <row r="114" spans="1:23" hidden="1">
      <c r="A114" s="6">
        <v>6</v>
      </c>
      <c r="B114" s="7" t="s">
        <v>169</v>
      </c>
      <c r="D114" s="17"/>
      <c r="E114" s="17"/>
      <c r="F114" s="17"/>
      <c r="G114" s="17"/>
      <c r="H114" s="21" t="s">
        <v>146</v>
      </c>
      <c r="I114" s="19">
        <v>5</v>
      </c>
      <c r="J114" s="17"/>
      <c r="K114" s="18" t="s">
        <v>249</v>
      </c>
      <c r="L114" s="17"/>
      <c r="M114" s="18" t="s">
        <v>102</v>
      </c>
      <c r="N114" s="17"/>
      <c r="O114" s="21" t="s">
        <v>85</v>
      </c>
      <c r="P114" s="17"/>
      <c r="Q114" s="17">
        <v>3</v>
      </c>
      <c r="R114" s="17"/>
      <c r="S114" s="22"/>
      <c r="T114" s="21"/>
      <c r="U114" s="23"/>
      <c r="V114" s="23"/>
      <c r="W114" s="23"/>
    </row>
    <row r="115" spans="1:23" hidden="1">
      <c r="A115" s="6">
        <v>7</v>
      </c>
      <c r="B115" s="7" t="s">
        <v>165</v>
      </c>
      <c r="D115" s="17"/>
      <c r="E115" s="17"/>
      <c r="F115" s="17"/>
      <c r="G115" s="17"/>
      <c r="H115" s="21" t="s">
        <v>147</v>
      </c>
      <c r="I115" s="19">
        <v>6</v>
      </c>
      <c r="J115" s="17"/>
      <c r="K115" s="18" t="s">
        <v>152</v>
      </c>
      <c r="L115" s="17"/>
      <c r="M115" s="18" t="s">
        <v>101</v>
      </c>
      <c r="N115" s="17"/>
      <c r="O115" s="21" t="s">
        <v>84</v>
      </c>
      <c r="P115" s="17"/>
      <c r="Q115" s="17">
        <v>1</v>
      </c>
      <c r="R115" s="17"/>
      <c r="S115" s="22"/>
      <c r="T115" s="21"/>
      <c r="U115" s="23"/>
      <c r="V115" s="23"/>
      <c r="W115" s="23"/>
    </row>
    <row r="116" spans="1:23" hidden="1">
      <c r="A116" s="17"/>
      <c r="B116" s="17"/>
      <c r="C116" s="17"/>
      <c r="D116" s="17"/>
      <c r="E116" s="17"/>
      <c r="F116" s="17"/>
      <c r="G116" s="17"/>
      <c r="H116" s="21" t="s">
        <v>148</v>
      </c>
      <c r="I116" s="19">
        <v>7</v>
      </c>
      <c r="J116" s="17"/>
      <c r="K116" s="18" t="s">
        <v>153</v>
      </c>
      <c r="L116" s="17"/>
      <c r="M116" s="18" t="s">
        <v>100</v>
      </c>
      <c r="N116" s="17"/>
      <c r="O116" s="21" t="s">
        <v>83</v>
      </c>
      <c r="P116" s="17"/>
      <c r="Q116" s="17">
        <v>2</v>
      </c>
      <c r="R116" s="17"/>
      <c r="S116" s="22"/>
      <c r="T116" s="21"/>
      <c r="U116" s="23"/>
      <c r="V116" s="23"/>
      <c r="W116" s="23"/>
    </row>
    <row r="117" spans="1:23" hidden="1">
      <c r="A117" s="17"/>
      <c r="B117" s="17"/>
      <c r="C117" s="17"/>
      <c r="D117" s="17"/>
      <c r="E117" s="17"/>
      <c r="F117" s="17"/>
      <c r="G117" s="17"/>
      <c r="H117" s="21" t="s">
        <v>149</v>
      </c>
      <c r="I117" s="19">
        <v>8</v>
      </c>
      <c r="J117" s="17"/>
      <c r="K117" s="18" t="s">
        <v>154</v>
      </c>
      <c r="L117" s="17"/>
      <c r="M117" s="18" t="s">
        <v>99</v>
      </c>
      <c r="N117" s="17"/>
      <c r="O117" s="21" t="s">
        <v>81</v>
      </c>
      <c r="P117" s="17"/>
      <c r="Q117" s="17">
        <v>3</v>
      </c>
      <c r="R117" s="17"/>
      <c r="S117" s="22"/>
      <c r="T117" s="21"/>
      <c r="U117" s="23"/>
      <c r="V117" s="23"/>
      <c r="W117" s="23"/>
    </row>
    <row r="118" spans="1:23" hidden="1">
      <c r="A118" s="17"/>
      <c r="B118" s="17"/>
      <c r="C118" s="17"/>
      <c r="D118" s="17"/>
      <c r="E118" s="17"/>
      <c r="F118" s="17"/>
      <c r="G118" s="17"/>
      <c r="H118" s="21" t="s">
        <v>98</v>
      </c>
      <c r="I118" s="19">
        <v>9</v>
      </c>
      <c r="J118" s="17"/>
      <c r="K118" s="18" t="s">
        <v>155</v>
      </c>
      <c r="L118" s="17"/>
      <c r="M118" s="18" t="s">
        <v>97</v>
      </c>
      <c r="N118" s="17"/>
      <c r="O118" s="21" t="s">
        <v>80</v>
      </c>
      <c r="P118" s="17"/>
      <c r="Q118" s="17">
        <v>4</v>
      </c>
      <c r="R118" s="17"/>
      <c r="S118" s="22"/>
      <c r="T118" s="21"/>
      <c r="U118" s="23"/>
      <c r="V118" s="23"/>
      <c r="W118" s="23"/>
    </row>
    <row r="119" spans="1:23" hidden="1">
      <c r="A119" s="17"/>
      <c r="B119" s="17"/>
      <c r="C119" s="17"/>
      <c r="D119" s="17"/>
      <c r="E119" s="17"/>
      <c r="F119" s="17"/>
      <c r="G119" s="17"/>
      <c r="H119" s="21" t="s">
        <v>311</v>
      </c>
      <c r="I119" s="19">
        <v>10</v>
      </c>
      <c r="J119" s="17"/>
      <c r="K119" s="18" t="s">
        <v>310</v>
      </c>
      <c r="L119" s="17"/>
      <c r="M119" s="18" t="s">
        <v>96</v>
      </c>
      <c r="N119" s="17"/>
      <c r="O119" s="21"/>
      <c r="P119" s="17"/>
      <c r="Q119" s="17"/>
      <c r="R119" s="17"/>
      <c r="S119" s="22"/>
      <c r="T119" s="21"/>
      <c r="U119" s="23"/>
      <c r="V119" s="23"/>
      <c r="W119" s="23"/>
    </row>
    <row r="120" spans="1:23" hidden="1">
      <c r="A120" s="17"/>
      <c r="B120" s="17" t="s">
        <v>321</v>
      </c>
      <c r="C120" s="17"/>
      <c r="D120" s="17"/>
      <c r="E120" s="17"/>
      <c r="F120" s="17"/>
      <c r="G120" s="17"/>
      <c r="H120" s="21" t="s">
        <v>150</v>
      </c>
      <c r="I120" s="19">
        <v>11</v>
      </c>
      <c r="J120" s="17"/>
      <c r="K120" s="18" t="s">
        <v>313</v>
      </c>
      <c r="L120" s="17"/>
      <c r="M120" s="18" t="s">
        <v>95</v>
      </c>
      <c r="N120" s="17"/>
      <c r="O120" s="21" t="s">
        <v>157</v>
      </c>
      <c r="P120" s="17"/>
      <c r="Q120" s="17">
        <v>4</v>
      </c>
      <c r="R120" s="17"/>
      <c r="S120" s="22"/>
      <c r="T120" s="21"/>
      <c r="U120" s="23"/>
      <c r="V120" s="23"/>
      <c r="W120" s="23"/>
    </row>
    <row r="121" spans="1:23" hidden="1">
      <c r="A121" s="17"/>
      <c r="B121" s="17" t="s">
        <v>322</v>
      </c>
      <c r="C121" s="17"/>
      <c r="D121" s="17"/>
      <c r="E121" s="17"/>
      <c r="F121" s="17"/>
      <c r="G121" s="17"/>
      <c r="H121" s="21" t="s">
        <v>151</v>
      </c>
      <c r="I121" s="19">
        <v>12</v>
      </c>
      <c r="J121" s="17"/>
      <c r="K121" s="18" t="s">
        <v>314</v>
      </c>
      <c r="L121" s="17"/>
      <c r="M121" s="18" t="s">
        <v>93</v>
      </c>
      <c r="N121" s="17"/>
      <c r="O121" s="21" t="s">
        <v>79</v>
      </c>
      <c r="P121" s="17"/>
      <c r="Q121" s="17">
        <v>5</v>
      </c>
      <c r="R121" s="17"/>
      <c r="S121" s="22"/>
      <c r="T121" s="21"/>
      <c r="U121" s="23"/>
      <c r="V121" s="23"/>
      <c r="W121" s="23"/>
    </row>
    <row r="122" spans="1:23" hidden="1">
      <c r="A122" s="17"/>
      <c r="B122" s="17"/>
      <c r="C122" s="17"/>
      <c r="D122" s="17"/>
      <c r="E122" s="17"/>
      <c r="F122" s="17"/>
      <c r="G122" s="17"/>
      <c r="H122" s="21" t="s">
        <v>94</v>
      </c>
      <c r="I122" s="19">
        <v>13</v>
      </c>
      <c r="J122" s="17"/>
      <c r="K122" s="18" t="s">
        <v>315</v>
      </c>
      <c r="L122" s="17"/>
      <c r="M122" s="18" t="s">
        <v>91</v>
      </c>
      <c r="N122" s="17"/>
      <c r="O122" s="21" t="s">
        <v>78</v>
      </c>
      <c r="P122" s="17"/>
      <c r="Q122" s="17">
        <v>6</v>
      </c>
      <c r="R122" s="17"/>
      <c r="S122" s="22"/>
      <c r="T122" s="21"/>
      <c r="U122" s="23"/>
      <c r="V122" s="23"/>
      <c r="W122" s="23"/>
    </row>
    <row r="123" spans="1:23" hidden="1">
      <c r="A123" s="17"/>
      <c r="B123" s="17"/>
      <c r="C123" s="17"/>
      <c r="D123" s="17"/>
      <c r="E123" s="17"/>
      <c r="F123" s="17"/>
      <c r="G123" s="17"/>
      <c r="H123" s="21"/>
      <c r="I123" s="19">
        <v>14</v>
      </c>
      <c r="J123" s="17"/>
      <c r="K123" s="18" t="s">
        <v>349</v>
      </c>
      <c r="L123" s="17"/>
      <c r="M123" s="18" t="s">
        <v>89</v>
      </c>
      <c r="N123" s="17"/>
      <c r="O123" s="21"/>
      <c r="P123" s="17"/>
      <c r="Q123" s="17"/>
      <c r="R123" s="17"/>
      <c r="S123" s="22"/>
      <c r="T123" s="21"/>
      <c r="U123" s="23"/>
      <c r="V123" s="23"/>
      <c r="W123" s="23"/>
    </row>
    <row r="124" spans="1:23" hidden="1">
      <c r="A124" s="17"/>
      <c r="B124" s="17"/>
      <c r="C124" s="17"/>
      <c r="D124" s="17"/>
      <c r="E124" s="17"/>
      <c r="F124" s="17"/>
      <c r="G124" s="17"/>
      <c r="H124" s="21"/>
      <c r="I124" s="19">
        <v>15</v>
      </c>
      <c r="J124" s="17"/>
      <c r="K124" s="18" t="s">
        <v>350</v>
      </c>
      <c r="L124" s="17"/>
      <c r="M124" s="18" t="s">
        <v>312</v>
      </c>
      <c r="N124" s="17"/>
      <c r="O124" s="21"/>
      <c r="P124" s="17"/>
      <c r="Q124" s="17"/>
      <c r="R124" s="17"/>
      <c r="S124" s="22"/>
      <c r="T124" s="21"/>
      <c r="U124" s="23"/>
      <c r="V124" s="23"/>
      <c r="W124" s="23"/>
    </row>
    <row r="125" spans="1:23" hidden="1">
      <c r="A125" s="17"/>
      <c r="B125" s="17"/>
      <c r="C125" s="17"/>
      <c r="D125" s="17"/>
      <c r="E125" s="17"/>
      <c r="F125" s="17"/>
      <c r="G125" s="17"/>
      <c r="H125" s="21" t="s">
        <v>92</v>
      </c>
      <c r="I125" s="19">
        <v>16</v>
      </c>
      <c r="J125" s="17"/>
      <c r="K125" s="18" t="s">
        <v>345</v>
      </c>
      <c r="L125" s="17"/>
      <c r="M125" s="18" t="s">
        <v>347</v>
      </c>
      <c r="N125" s="17"/>
      <c r="O125" s="21" t="s">
        <v>156</v>
      </c>
      <c r="P125" s="17"/>
      <c r="Q125" s="17">
        <v>7</v>
      </c>
      <c r="R125" s="17"/>
      <c r="S125" s="22"/>
      <c r="T125" s="21"/>
      <c r="U125" s="23"/>
      <c r="V125" s="23"/>
      <c r="W125" s="23"/>
    </row>
    <row r="126" spans="1:23" ht="15" hidden="1">
      <c r="A126" s="17"/>
      <c r="B126" s="20"/>
      <c r="C126" s="17"/>
      <c r="D126" s="20"/>
      <c r="E126" s="17"/>
      <c r="F126" s="17"/>
      <c r="G126" s="17"/>
      <c r="H126" s="21" t="s">
        <v>90</v>
      </c>
      <c r="I126" s="19">
        <v>17</v>
      </c>
      <c r="J126" s="17"/>
      <c r="K126" s="18" t="s">
        <v>346</v>
      </c>
      <c r="L126" s="17"/>
      <c r="M126" s="18" t="s">
        <v>348</v>
      </c>
      <c r="N126" s="17"/>
      <c r="O126" s="21" t="s">
        <v>74</v>
      </c>
      <c r="P126" s="17"/>
      <c r="Q126" s="17">
        <v>8</v>
      </c>
      <c r="R126" s="17"/>
      <c r="S126" s="22"/>
      <c r="T126" s="21"/>
      <c r="U126" s="23"/>
      <c r="V126" s="23"/>
      <c r="W126" s="23"/>
    </row>
    <row r="127" spans="1:23" hidden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21" t="s">
        <v>71</v>
      </c>
      <c r="P127" s="17"/>
      <c r="Q127" s="17">
        <v>9</v>
      </c>
      <c r="R127" s="17"/>
      <c r="S127" s="22"/>
      <c r="T127" s="21"/>
      <c r="U127" s="23"/>
      <c r="V127" s="23"/>
      <c r="W127" s="23"/>
    </row>
    <row r="128" spans="1:23" ht="15" hidden="1">
      <c r="A128" s="17"/>
      <c r="B128" s="17"/>
      <c r="C128" s="17"/>
      <c r="D128" s="17"/>
      <c r="E128" s="17"/>
      <c r="F128" s="17"/>
      <c r="G128" s="17"/>
      <c r="H128" s="20" t="s">
        <v>50</v>
      </c>
      <c r="I128" s="17">
        <v>100</v>
      </c>
      <c r="J128" s="151" t="s">
        <v>51</v>
      </c>
      <c r="K128" s="17"/>
      <c r="L128" s="17"/>
      <c r="M128" s="17"/>
      <c r="N128" s="17"/>
      <c r="O128" s="21" t="s">
        <v>68</v>
      </c>
      <c r="P128" s="17"/>
      <c r="Q128" s="17">
        <v>10</v>
      </c>
      <c r="R128" s="17"/>
      <c r="S128" s="22"/>
      <c r="T128" s="21"/>
      <c r="U128" s="23"/>
      <c r="V128" s="23"/>
      <c r="W128" s="23"/>
    </row>
    <row r="129" spans="1:23" hidden="1">
      <c r="A129" s="17"/>
      <c r="B129" s="17" t="str">
        <f t="shared" ref="B129:B140" si="0">IF($B$227="1",K111,"")</f>
        <v/>
      </c>
      <c r="C129" s="17"/>
      <c r="D129" s="17" t="str">
        <f t="shared" ref="D129:D140" si="1">IF($D$227="1",K111,"")</f>
        <v/>
      </c>
      <c r="E129" s="17"/>
      <c r="F129" s="17"/>
      <c r="G129" s="17" t="s">
        <v>250</v>
      </c>
      <c r="H129" s="17" t="str">
        <f>IF(F52=H109,J110,IF(F52=K110,I110,IF(F52=K111,I111,IF(F52=K112,I112,IF(F52=K113,I113,IF(F52=K114,I114,IF(F52=K115,I115,IF(F52=K116,I116,IF(F52=K117,I117,IF(F52=K118,I118,IF(F52=K119,I119,IF(F52=K120,I120,IF(F52=K121,I121,IF(F52=K122,I122,IF(F52=K125,I125,IF(F52=K126,I126,IF(F52=K123,I123,IF(F52=K124,I124,""))))))))))))))))))</f>
        <v/>
      </c>
      <c r="I129" s="17"/>
      <c r="J129" s="152" t="str">
        <f>IF(K52=H109,J110,IF(K52=K110,I110,IF(K52=K111,I111,IF(K52=K112,I112,IF(K52=K113,I113,IF(K52=K114,I114,IF(K52=K115,I115,IF(K52=K116,I116,IF(K52=K117,I117,IF(K52=K118,I118,IF(K52=K119,I119,IF(K52=K120,I120,IF(K52=K121,I121,IF(K52=K122,I122,IF(K52=K125,I125,IF(K52=K126,I126,IF(K52=K123,I123,IF(K52=K124,I124,""))))))))))))))))))</f>
        <v/>
      </c>
      <c r="K129" s="17"/>
      <c r="L129" s="17"/>
      <c r="M129" s="17"/>
      <c r="N129" s="17"/>
      <c r="O129" s="21" t="s">
        <v>67</v>
      </c>
      <c r="P129" s="17"/>
      <c r="Q129" s="17">
        <v>11</v>
      </c>
      <c r="R129" s="17"/>
      <c r="S129" s="22"/>
      <c r="T129" s="21"/>
      <c r="U129" s="23"/>
      <c r="V129" s="23"/>
      <c r="W129" s="23"/>
    </row>
    <row r="130" spans="1:23" hidden="1">
      <c r="A130" s="17"/>
      <c r="B130" s="17" t="str">
        <f t="shared" si="0"/>
        <v/>
      </c>
      <c r="C130" s="17"/>
      <c r="D130" s="17" t="str">
        <f t="shared" si="1"/>
        <v/>
      </c>
      <c r="E130" s="17"/>
      <c r="F130" s="17" t="s">
        <v>251</v>
      </c>
      <c r="H130" s="17" t="str">
        <f>IF(F53=O110,(H129*I128)+Q110,IF(F53=O112,(H129*I128)+Q112,IF(F53=O111,(H129*I128)+Q111,IF(F53=O113,(H129*I128)+Q113,IF(F53=O114,(H129*I128)+Q114,IF(F53=O115,(H129*I128)+Q115,IF(F53=O116,(H129*I128)+Q116,IF(F53=O117,(H129*I128)+Q117,IF(F53=O118,(H129*I128)+Q118,IF(F53=O120,(H129*I128)+Q120,IF(F53=O121,(H129*I128)+Q121,IF(F53=O122,(H129*I128)+Q122,IF(F53=O125,(H129*I128)+Q125,IF(F53=O126,(H129*I128)+Q126,IF(F53=O127,(H129*I128)+Q127,IF(F53=O128,(H129*I128)+Q128,IF(F53=O129,(H129*I128)+Q129,IF(F53=O130,(H129*I128)+Q130,IF(F53=O131,(H129*I128)+Q131,IF(F53=O132,(H129*I128)+Q132,IF(F53=O133,(H129*I128)+Q133,IF(F53=O134,(H129*I128)+Q134,IF(F53=O135,(H129*I128)+Q135,IF(F53=O136,(H129*I128)+Q136,IF(F53=O137,(H129*I128)+Q137,IF(F53=O138,(H129*I128)+Q138,IF(F53=O139,(H129*I128)+Q139,"")))))))))))))))))))))))))))</f>
        <v/>
      </c>
      <c r="I130" s="17"/>
      <c r="J130" s="152" t="str">
        <f>IF(K53=O110,(J129*I128)+Q110,IF(K53=O112,(J129*I128)+Q112,IF(K53=O111,(J129*I128)+Q111,IF(K53=O113,(J129*I128)+Q113,IF(K53=O114,(J129*I128)+Q114,IF(K53=O115,(J129*I128)+Q115,IF(K53=O116,(J129*I128)+Q116,IF(K53=O117,(J129*I128)+Q117,IF(K53=O118,(J129*I128)+Q118,IF(K53=O120,(J129*I128)+Q120,IF(K53=O121,(J129*I128)+Q121,IF(K53=O122,(J129*I128)+Q122,IF(K53=O125,(J129*I128)+Q125,IF(K53=O126,(J129*I128)+Q126,IF(K53=O127,(J129*I128)+Q127,IF(K53=O128,(J129*I128)+Q128,IF(K53=O129,(J129*I128)+Q129,IF(K53=O130,(J129*I128)+Q130,IF(K53=O131,(J129*I128)+Q131,IF(K53=O132,(J129*I128)+Q132,IF(K53=O133,(J129*I128)+Q133,IF(K53=O134,(J129*I128)+Q134,IF(K53=O135,(J129*I128)+Q135,IF(K53=O136,(J129*I128)+Q136,IF(K53=O137,(J129*I128)+Q137,IF(K53=O138,(J129*I128)+Q138,IF(K53=O139,(J129*I128)+Q139,"")))))))))))))))))))))))))))</f>
        <v/>
      </c>
      <c r="K130" s="17"/>
      <c r="L130" s="17"/>
      <c r="M130" s="17"/>
      <c r="N130" s="17"/>
      <c r="O130" s="21" t="s">
        <v>66</v>
      </c>
      <c r="P130" s="17"/>
      <c r="Q130" s="17">
        <v>12</v>
      </c>
      <c r="R130" s="17"/>
      <c r="S130" s="22"/>
      <c r="T130" s="21"/>
      <c r="U130" s="23"/>
      <c r="V130" s="23"/>
      <c r="W130" s="23"/>
    </row>
    <row r="131" spans="1:23" hidden="1">
      <c r="A131" s="17"/>
      <c r="B131" s="17" t="str">
        <f t="shared" si="0"/>
        <v/>
      </c>
      <c r="C131" s="17"/>
      <c r="D131" s="17" t="str">
        <f t="shared" si="1"/>
        <v/>
      </c>
      <c r="E131" s="17"/>
      <c r="F131" s="17"/>
      <c r="G131" s="17"/>
      <c r="H131" s="17" t="str">
        <f>IF(H129=H109,J110,IF(H129=I110,O110,IF(H129=I111,O110,IF(H129=I112,O110,IF(H129=I113,O110,IF(H129=I114,O110,IF(H129=I115,O110,IF(H129=I116,O110,IF(H129=I117,O110,IF(H129=I118,O110,IF(H129=I119,O110,IF(H129=I120,O110,IF(H129=I121,O110,IF(H129=I122,O110,IF(H129=I125,O112,IF(H129=I126,O110,""))))))))))))))))</f>
        <v/>
      </c>
      <c r="I131" s="17"/>
      <c r="J131" s="152" t="str">
        <f>IF(J129=H109,J110,IF(J129=I110,O110,IF(J129=I111,O110,IF(J129=I112,O110,IF(J129=I113,O110,IF(J129=I114,O110,IF(J129=I115,O110,IF(J129=I116,O110,IF(J129=I117,O110,IF(J129=I118,O110,IF(J129=I119,O110,IF(J129=I120,O110,IF(J129=I121,O110,IF(J129=I122,O110,IF(J129=I125,O112,IF(J129=I126,O110,""))))))))))))))))</f>
        <v/>
      </c>
      <c r="K131" s="17"/>
      <c r="L131" s="17"/>
      <c r="M131" s="17"/>
      <c r="N131" s="17"/>
      <c r="O131" s="21" t="s">
        <v>65</v>
      </c>
      <c r="P131" s="17"/>
      <c r="Q131" s="17">
        <v>13</v>
      </c>
      <c r="R131" s="17"/>
      <c r="S131" s="22"/>
      <c r="T131" s="21"/>
      <c r="U131" s="23"/>
      <c r="V131" s="23"/>
      <c r="W131" s="23"/>
    </row>
    <row r="132" spans="1:23" hidden="1">
      <c r="A132" s="17"/>
      <c r="B132" s="17" t="str">
        <f t="shared" si="0"/>
        <v/>
      </c>
      <c r="C132" s="17"/>
      <c r="D132" s="17" t="str">
        <f t="shared" si="1"/>
        <v/>
      </c>
      <c r="E132" s="17"/>
      <c r="F132" s="17"/>
      <c r="G132" s="17"/>
      <c r="H132" s="17" t="str">
        <f>IF(H129=1,O111,IF(H129=2," ",IF(H129=3,O111,IF(H129&lt;10," ",IF(H129&lt;14,O111,IF(H129=16,O113,IF(H129=I126,O111,"")))))))</f>
        <v/>
      </c>
      <c r="I132" s="17"/>
      <c r="J132" s="152" t="str">
        <f>IF($J$129=1,O111,IF($J$129=2," ",IF($J$129=3,O111,IF($J$129&lt;10," ",IF($J$129&lt;14,O111,IF($J$129=16,O113,IF(J129=I126,O111,"")))))))</f>
        <v/>
      </c>
      <c r="K132" s="17"/>
      <c r="L132" s="17"/>
      <c r="M132" s="17"/>
      <c r="N132" s="17"/>
      <c r="O132" s="21" t="s">
        <v>64</v>
      </c>
      <c r="P132" s="17"/>
      <c r="Q132" s="17">
        <v>14</v>
      </c>
      <c r="R132" s="17"/>
      <c r="S132" s="22"/>
      <c r="T132" s="21"/>
      <c r="U132" s="23"/>
      <c r="V132" s="23"/>
      <c r="W132" s="23"/>
    </row>
    <row r="133" spans="1:23" hidden="1">
      <c r="A133" s="17"/>
      <c r="B133" s="17" t="str">
        <f t="shared" si="0"/>
        <v/>
      </c>
      <c r="C133" s="17"/>
      <c r="D133" s="17" t="str">
        <f t="shared" si="1"/>
        <v/>
      </c>
      <c r="E133" s="17"/>
      <c r="F133" s="17"/>
      <c r="G133" s="17"/>
      <c r="H133" s="17" t="str">
        <f>IF($H$129=16,O114,"")</f>
        <v/>
      </c>
      <c r="I133" s="17"/>
      <c r="J133" s="152" t="str">
        <f>IF($J$129=16,O114,"")</f>
        <v/>
      </c>
      <c r="K133" s="17"/>
      <c r="L133" s="17"/>
      <c r="M133" s="17"/>
      <c r="N133" s="17"/>
      <c r="O133" s="21" t="s">
        <v>63</v>
      </c>
      <c r="P133" s="17"/>
      <c r="Q133" s="17">
        <v>15</v>
      </c>
      <c r="R133" s="17"/>
      <c r="S133" s="22"/>
      <c r="T133" s="21"/>
      <c r="U133" s="23"/>
      <c r="V133" s="23"/>
      <c r="W133" s="23"/>
    </row>
    <row r="134" spans="1:23" hidden="1">
      <c r="A134" s="17"/>
      <c r="B134" s="17" t="str">
        <f t="shared" si="0"/>
        <v/>
      </c>
      <c r="C134" s="17"/>
      <c r="D134" s="17" t="str">
        <f t="shared" si="1"/>
        <v/>
      </c>
      <c r="E134" s="17"/>
      <c r="F134" s="17"/>
      <c r="G134" s="17"/>
      <c r="H134" s="17" t="str">
        <f>IF($H$129=14,O115,IF(H129=15,O115,""))</f>
        <v/>
      </c>
      <c r="I134" s="17"/>
      <c r="J134" s="152" t="str">
        <f>IF($J$129=14,O115,IF(J129=15,O115,""))</f>
        <v/>
      </c>
      <c r="K134" s="17"/>
      <c r="L134" s="17"/>
      <c r="M134" s="17"/>
      <c r="N134" s="17"/>
      <c r="O134" s="21" t="s">
        <v>62</v>
      </c>
      <c r="P134" s="17"/>
      <c r="Q134" s="17">
        <v>16</v>
      </c>
      <c r="R134" s="17"/>
      <c r="S134" s="22"/>
      <c r="T134" s="21"/>
      <c r="U134" s="23"/>
      <c r="V134" s="23"/>
      <c r="W134" s="23"/>
    </row>
    <row r="135" spans="1:23" hidden="1">
      <c r="A135" s="17"/>
      <c r="B135" s="17" t="str">
        <f t="shared" si="0"/>
        <v/>
      </c>
      <c r="C135" s="17"/>
      <c r="D135" s="17" t="str">
        <f t="shared" si="1"/>
        <v/>
      </c>
      <c r="E135" s="71"/>
      <c r="F135" s="17"/>
      <c r="G135" s="17"/>
      <c r="H135" s="17" t="str">
        <f>IF($H$129=14,O116,IF(H129=15,O116,""))</f>
        <v/>
      </c>
      <c r="I135" s="17"/>
      <c r="J135" s="152" t="str">
        <f>IF($J$129=14,O116,IF(J129=15,O116,""))</f>
        <v/>
      </c>
      <c r="K135" s="17"/>
      <c r="L135" s="17"/>
      <c r="M135" s="17"/>
      <c r="N135" s="17"/>
      <c r="O135" s="21" t="s">
        <v>61</v>
      </c>
      <c r="P135" s="17"/>
      <c r="Q135" s="17">
        <v>5</v>
      </c>
      <c r="R135" s="17"/>
      <c r="S135" s="22"/>
      <c r="T135" s="21"/>
      <c r="U135" s="23"/>
      <c r="V135" s="23"/>
      <c r="W135" s="23"/>
    </row>
    <row r="136" spans="1:23" hidden="1">
      <c r="A136" s="17"/>
      <c r="B136" s="17" t="str">
        <f t="shared" si="0"/>
        <v/>
      </c>
      <c r="C136" s="17"/>
      <c r="D136" s="17" t="str">
        <f t="shared" si="1"/>
        <v/>
      </c>
      <c r="E136" s="17"/>
      <c r="F136" s="17"/>
      <c r="G136" s="17"/>
      <c r="H136" s="17" t="str">
        <f>IF($H$129=14,O117,IF(H129=15,O117,""))</f>
        <v/>
      </c>
      <c r="I136" s="17"/>
      <c r="J136" s="152" t="str">
        <f>IF($J$129=14,O117,IF(J129=15,O117,""))</f>
        <v/>
      </c>
      <c r="K136" s="17"/>
      <c r="L136" s="17"/>
      <c r="M136" s="17"/>
      <c r="N136" s="17"/>
      <c r="O136" s="21" t="s">
        <v>60</v>
      </c>
      <c r="P136" s="17"/>
      <c r="Q136" s="17">
        <v>17</v>
      </c>
      <c r="R136" s="17"/>
      <c r="S136" s="22"/>
      <c r="T136" s="21"/>
      <c r="U136" s="23"/>
      <c r="V136" s="23"/>
      <c r="W136" s="23"/>
    </row>
    <row r="137" spans="1:23" hidden="1">
      <c r="A137" s="17"/>
      <c r="B137" s="17" t="str">
        <f t="shared" si="0"/>
        <v/>
      </c>
      <c r="C137" s="17"/>
      <c r="D137" s="17" t="str">
        <f t="shared" si="1"/>
        <v/>
      </c>
      <c r="E137" s="17"/>
      <c r="F137" s="17"/>
      <c r="G137" s="17"/>
      <c r="H137" s="17" t="str">
        <f>IF($H$129=14,O118,IF(H129=15,O118,""))</f>
        <v/>
      </c>
      <c r="I137" s="17"/>
      <c r="J137" s="152" t="str">
        <f>IF($J$129=14,O118,IF(J129=15,O118,""))</f>
        <v/>
      </c>
      <c r="K137" s="17"/>
      <c r="L137" s="17"/>
      <c r="M137" s="17"/>
      <c r="N137" s="17"/>
      <c r="O137" s="21" t="s">
        <v>59</v>
      </c>
      <c r="P137" s="17"/>
      <c r="Q137" s="17">
        <v>18</v>
      </c>
      <c r="R137" s="17"/>
      <c r="S137" s="22"/>
      <c r="T137" s="21"/>
      <c r="U137" s="23"/>
      <c r="V137" s="23"/>
      <c r="W137" s="23"/>
    </row>
    <row r="138" spans="1:23" hidden="1">
      <c r="A138" s="17"/>
      <c r="B138" s="17" t="str">
        <f t="shared" si="0"/>
        <v/>
      </c>
      <c r="C138" s="17"/>
      <c r="D138" s="17" t="str">
        <f t="shared" si="1"/>
        <v/>
      </c>
      <c r="E138" s="17"/>
      <c r="F138" s="17"/>
      <c r="G138" s="17"/>
      <c r="H138" s="17" t="str">
        <f>IF($H$129=16,O120,IF($H$129=14,O135,IF($H$129=15,O135,"")))</f>
        <v/>
      </c>
      <c r="I138" s="17"/>
      <c r="J138" s="152" t="str">
        <f>IF($J$129=16,O120,IF($J$129=14,O135,IF($J$129=15,O135,"")))</f>
        <v/>
      </c>
      <c r="K138" s="17"/>
      <c r="L138" s="17"/>
      <c r="M138" s="17"/>
      <c r="N138" s="17"/>
      <c r="O138" s="21" t="s">
        <v>58</v>
      </c>
      <c r="P138" s="17"/>
      <c r="Q138" s="17">
        <v>19</v>
      </c>
      <c r="R138" s="17"/>
      <c r="S138" s="22"/>
      <c r="T138" s="21"/>
      <c r="U138" s="23"/>
      <c r="V138" s="23"/>
      <c r="W138" s="23"/>
    </row>
    <row r="139" spans="1:23" hidden="1">
      <c r="A139" s="17"/>
      <c r="B139" s="17" t="str">
        <f t="shared" si="0"/>
        <v/>
      </c>
      <c r="C139" s="17"/>
      <c r="D139" s="17" t="str">
        <f t="shared" si="1"/>
        <v/>
      </c>
      <c r="E139" s="17"/>
      <c r="F139" s="17"/>
      <c r="G139" s="17"/>
      <c r="H139" s="17" t="str">
        <f>IF($H$129=16,O121,"")</f>
        <v/>
      </c>
      <c r="I139" s="17"/>
      <c r="J139" s="152" t="str">
        <f>IF($J$129=16,O121,"")</f>
        <v/>
      </c>
      <c r="K139" s="17"/>
      <c r="L139" s="17"/>
      <c r="M139" s="17"/>
      <c r="N139" s="17"/>
      <c r="O139" s="153" t="s">
        <v>57</v>
      </c>
      <c r="P139" s="17"/>
      <c r="Q139" s="17">
        <v>20</v>
      </c>
      <c r="R139" s="17"/>
      <c r="S139" s="22"/>
      <c r="T139" s="21"/>
      <c r="U139" s="23"/>
      <c r="V139" s="23"/>
      <c r="W139" s="23"/>
    </row>
    <row r="140" spans="1:23" hidden="1">
      <c r="A140" s="17"/>
      <c r="B140" s="17" t="str">
        <f t="shared" si="0"/>
        <v/>
      </c>
      <c r="C140" s="17"/>
      <c r="D140" s="17" t="str">
        <f t="shared" si="1"/>
        <v/>
      </c>
      <c r="E140" s="17"/>
      <c r="F140" s="17"/>
      <c r="G140" s="17"/>
      <c r="H140" s="17" t="str">
        <f>IF($H$129=16,O122,"")</f>
        <v/>
      </c>
      <c r="I140" s="17"/>
      <c r="J140" s="152" t="str">
        <f>IF($J$129=16,O122,"")</f>
        <v/>
      </c>
      <c r="K140" s="17"/>
      <c r="L140" s="17"/>
      <c r="M140" s="17"/>
      <c r="N140" s="17"/>
      <c r="O140" s="154"/>
      <c r="P140" s="17"/>
      <c r="R140" s="17"/>
      <c r="S140" s="22"/>
      <c r="T140" s="21"/>
      <c r="U140" s="23"/>
      <c r="V140" s="23"/>
      <c r="W140" s="23"/>
    </row>
    <row r="141" spans="1:23" hidden="1">
      <c r="A141" s="17"/>
      <c r="B141" s="17" t="str">
        <f>IF($B$227="1",K126,"")</f>
        <v/>
      </c>
      <c r="C141" s="17"/>
      <c r="D141" s="17" t="str">
        <f>IF($D$227="1",K126,"")</f>
        <v/>
      </c>
      <c r="E141" s="17"/>
      <c r="F141" s="17"/>
      <c r="G141" s="17"/>
      <c r="H141" s="17" t="str">
        <f t="shared" ref="H141:H149" si="2">IF($H$129=16,O125,"")</f>
        <v/>
      </c>
      <c r="I141" s="17"/>
      <c r="J141" s="152" t="str">
        <f t="shared" ref="J141:J150" si="3">IF($J$129=16,O125,"")</f>
        <v/>
      </c>
      <c r="K141" s="17"/>
      <c r="L141" s="17"/>
      <c r="M141" s="17"/>
      <c r="N141" s="17"/>
      <c r="O141" s="154"/>
      <c r="P141" s="17"/>
      <c r="Q141" s="17"/>
      <c r="R141" s="17"/>
      <c r="S141" s="22"/>
      <c r="T141" s="21"/>
      <c r="U141" s="23"/>
      <c r="V141" s="23"/>
      <c r="W141" s="23"/>
    </row>
    <row r="142" spans="1:23" hidden="1">
      <c r="A142" s="17"/>
      <c r="B142" s="17"/>
      <c r="C142" s="17"/>
      <c r="D142" s="17"/>
      <c r="E142" s="17"/>
      <c r="F142" s="17"/>
      <c r="G142" s="17"/>
      <c r="H142" s="17" t="str">
        <f t="shared" si="2"/>
        <v/>
      </c>
      <c r="I142" s="17"/>
      <c r="J142" s="152" t="str">
        <f t="shared" si="3"/>
        <v/>
      </c>
      <c r="K142" s="17"/>
      <c r="L142" s="17"/>
      <c r="M142" s="17"/>
      <c r="N142" s="17"/>
      <c r="O142" s="130"/>
      <c r="P142" s="17"/>
      <c r="Q142" s="17"/>
      <c r="R142" s="17"/>
      <c r="S142" s="22"/>
      <c r="T142" s="21"/>
      <c r="U142" s="23"/>
      <c r="V142" s="23"/>
      <c r="W142" s="23"/>
    </row>
    <row r="143" spans="1:23" hidden="1">
      <c r="A143" s="17"/>
      <c r="B143" s="17"/>
      <c r="C143" s="17"/>
      <c r="D143" s="17"/>
      <c r="E143" s="17"/>
      <c r="F143" s="17"/>
      <c r="G143" s="17"/>
      <c r="H143" s="17" t="str">
        <f t="shared" si="2"/>
        <v/>
      </c>
      <c r="I143" s="17"/>
      <c r="J143" s="152" t="str">
        <f t="shared" si="3"/>
        <v/>
      </c>
      <c r="K143" s="17"/>
      <c r="L143" s="17"/>
      <c r="M143" s="17"/>
      <c r="N143" s="17"/>
      <c r="O143" s="17"/>
      <c r="P143" s="17"/>
      <c r="Q143" s="17"/>
      <c r="R143" s="17"/>
      <c r="S143" s="22"/>
      <c r="T143" s="21"/>
      <c r="U143" s="23"/>
      <c r="V143" s="23"/>
      <c r="W143" s="23"/>
    </row>
    <row r="144" spans="1:23" hidden="1">
      <c r="A144" s="17"/>
      <c r="B144" s="17"/>
      <c r="C144" s="17"/>
      <c r="D144" s="17"/>
      <c r="E144" s="17"/>
      <c r="F144" s="17"/>
      <c r="G144" s="17"/>
      <c r="H144" s="17" t="str">
        <f t="shared" si="2"/>
        <v/>
      </c>
      <c r="I144" s="17"/>
      <c r="J144" s="152" t="str">
        <f t="shared" si="3"/>
        <v/>
      </c>
      <c r="K144" s="17"/>
      <c r="L144" s="17"/>
      <c r="M144" s="17"/>
      <c r="N144" s="17"/>
      <c r="O144" s="17"/>
      <c r="P144" s="17"/>
      <c r="Q144" s="17"/>
      <c r="R144" s="17"/>
      <c r="S144" s="22"/>
      <c r="T144" s="21"/>
      <c r="U144" s="23"/>
      <c r="V144" s="23"/>
      <c r="W144" s="23"/>
    </row>
    <row r="145" spans="1:23" hidden="1">
      <c r="A145" s="17"/>
      <c r="B145" s="17"/>
      <c r="C145" s="17"/>
      <c r="D145" s="17"/>
      <c r="E145" s="17"/>
      <c r="F145" s="17"/>
      <c r="G145" s="17"/>
      <c r="H145" s="17" t="str">
        <f t="shared" si="2"/>
        <v/>
      </c>
      <c r="I145" s="17"/>
      <c r="J145" s="152" t="str">
        <f t="shared" si="3"/>
        <v/>
      </c>
      <c r="K145" s="17"/>
      <c r="L145" s="17"/>
      <c r="M145" s="17"/>
      <c r="N145" s="17"/>
      <c r="O145" s="17"/>
      <c r="P145" s="17"/>
      <c r="Q145" s="17"/>
      <c r="R145" s="17"/>
      <c r="S145" s="22"/>
      <c r="T145" s="21"/>
      <c r="U145" s="23"/>
      <c r="V145" s="23"/>
      <c r="W145" s="23"/>
    </row>
    <row r="146" spans="1:23" hidden="1">
      <c r="A146" s="17"/>
      <c r="B146" s="17"/>
      <c r="C146" s="17"/>
      <c r="D146" s="17"/>
      <c r="E146" s="17"/>
      <c r="F146" s="17"/>
      <c r="G146" s="17"/>
      <c r="H146" s="17" t="str">
        <f t="shared" si="2"/>
        <v/>
      </c>
      <c r="I146" s="17"/>
      <c r="J146" s="152" t="str">
        <f t="shared" si="3"/>
        <v/>
      </c>
      <c r="K146" s="17"/>
      <c r="L146" s="17"/>
      <c r="M146" s="17"/>
      <c r="N146" s="17"/>
      <c r="O146" s="17"/>
      <c r="P146" s="17"/>
      <c r="Q146" s="17"/>
      <c r="R146" s="17"/>
      <c r="S146" s="22"/>
      <c r="T146" s="21"/>
      <c r="U146" s="23"/>
      <c r="V146" s="23"/>
      <c r="W146" s="23"/>
    </row>
    <row r="147" spans="1:23" hidden="1">
      <c r="A147" s="17"/>
      <c r="B147" s="17"/>
      <c r="C147" s="17"/>
      <c r="D147" s="17"/>
      <c r="E147" s="17"/>
      <c r="F147" s="17"/>
      <c r="G147" s="17"/>
      <c r="H147" s="17" t="str">
        <f t="shared" si="2"/>
        <v/>
      </c>
      <c r="I147" s="17"/>
      <c r="J147" s="152" t="str">
        <f t="shared" si="3"/>
        <v/>
      </c>
      <c r="K147" s="17"/>
      <c r="L147" s="17"/>
      <c r="M147" s="17"/>
      <c r="N147" s="17"/>
      <c r="O147" s="17"/>
      <c r="P147" s="17"/>
      <c r="Q147" s="17"/>
      <c r="R147" s="17"/>
      <c r="S147" s="22"/>
      <c r="T147" s="21"/>
      <c r="U147" s="23"/>
      <c r="V147" s="23"/>
      <c r="W147" s="23"/>
    </row>
    <row r="148" spans="1:23" hidden="1">
      <c r="A148" s="17"/>
      <c r="B148" s="17"/>
      <c r="C148" s="17"/>
      <c r="D148" s="17"/>
      <c r="E148" s="17"/>
      <c r="F148" s="17"/>
      <c r="G148" s="17"/>
      <c r="H148" s="17" t="str">
        <f t="shared" si="2"/>
        <v/>
      </c>
      <c r="I148" s="17"/>
      <c r="J148" s="152" t="str">
        <f t="shared" si="3"/>
        <v/>
      </c>
      <c r="K148" s="17"/>
      <c r="L148" s="17"/>
      <c r="M148" s="17"/>
      <c r="N148" s="17"/>
      <c r="O148" s="17"/>
      <c r="P148" s="17"/>
      <c r="Q148" s="17"/>
      <c r="R148" s="17"/>
      <c r="S148" s="22"/>
      <c r="T148" s="21"/>
      <c r="U148" s="23"/>
      <c r="V148" s="23"/>
      <c r="W148" s="23"/>
    </row>
    <row r="149" spans="1:23" hidden="1">
      <c r="A149" s="17"/>
      <c r="B149" s="17"/>
      <c r="C149" s="17"/>
      <c r="D149" s="17"/>
      <c r="E149" s="17"/>
      <c r="F149" s="17"/>
      <c r="G149" s="17"/>
      <c r="H149" s="17" t="str">
        <f t="shared" si="2"/>
        <v/>
      </c>
      <c r="I149" s="17"/>
      <c r="J149" s="152" t="str">
        <f t="shared" si="3"/>
        <v/>
      </c>
      <c r="K149" s="17"/>
      <c r="L149" s="17"/>
      <c r="M149" s="17"/>
      <c r="N149" s="17"/>
      <c r="O149" s="17"/>
      <c r="P149" s="17"/>
      <c r="Q149" s="17"/>
      <c r="R149" s="17"/>
      <c r="S149" s="22"/>
      <c r="T149" s="21"/>
      <c r="U149" s="23"/>
      <c r="V149" s="23"/>
      <c r="W149" s="23"/>
    </row>
    <row r="150" spans="1:23" hidden="1">
      <c r="A150" s="17"/>
      <c r="B150" s="17"/>
      <c r="C150" s="17"/>
      <c r="D150" s="17"/>
      <c r="E150" s="17"/>
      <c r="F150" s="17"/>
      <c r="G150" s="17"/>
      <c r="H150" s="17" t="str">
        <f>IF($H$129=16,O134,"")</f>
        <v/>
      </c>
      <c r="I150" s="17"/>
      <c r="J150" s="152" t="str">
        <f t="shared" si="3"/>
        <v/>
      </c>
      <c r="K150" s="17"/>
      <c r="L150" s="17"/>
      <c r="M150" s="17"/>
      <c r="N150" s="17"/>
      <c r="O150" s="17"/>
      <c r="P150" s="17"/>
      <c r="Q150" s="17"/>
      <c r="R150" s="17"/>
      <c r="S150" s="22"/>
      <c r="T150" s="21"/>
      <c r="U150" s="23"/>
      <c r="V150" s="23"/>
      <c r="W150" s="23"/>
    </row>
    <row r="151" spans="1:23" hidden="1">
      <c r="A151" s="17"/>
      <c r="B151" s="17"/>
      <c r="C151" s="17"/>
      <c r="D151" s="17"/>
      <c r="E151" s="17"/>
      <c r="F151" s="17"/>
      <c r="G151" s="17"/>
      <c r="H151" s="17" t="str">
        <f>IF($H$129=16,O136,"")</f>
        <v/>
      </c>
      <c r="I151" s="17"/>
      <c r="J151" s="152" t="str">
        <f>IF($J$129=16,O136,"")</f>
        <v/>
      </c>
      <c r="K151" s="17"/>
      <c r="L151" s="17"/>
      <c r="M151" s="17"/>
      <c r="N151" s="17"/>
      <c r="O151" s="17"/>
      <c r="P151" s="17"/>
      <c r="Q151" s="17"/>
      <c r="R151" s="17"/>
      <c r="S151" s="22"/>
      <c r="T151" s="21"/>
      <c r="U151" s="23"/>
      <c r="V151" s="23"/>
      <c r="W151" s="23"/>
    </row>
    <row r="152" spans="1:23" hidden="1">
      <c r="A152" s="17"/>
      <c r="B152" s="17"/>
      <c r="C152" s="17"/>
      <c r="D152" s="17"/>
      <c r="E152" s="17"/>
      <c r="F152" s="17"/>
      <c r="G152" s="17"/>
      <c r="H152" s="17" t="str">
        <f>IF($H$129=16,O137,"")</f>
        <v/>
      </c>
      <c r="I152" s="17"/>
      <c r="J152" s="152" t="str">
        <f>IF($J$129=16,O137,"")</f>
        <v/>
      </c>
      <c r="K152" s="17"/>
      <c r="L152" s="17"/>
      <c r="M152" s="17"/>
      <c r="N152" s="17"/>
      <c r="O152" s="17"/>
      <c r="P152" s="17"/>
      <c r="Q152" s="17"/>
      <c r="R152" s="17"/>
      <c r="S152" s="22"/>
      <c r="T152" s="21"/>
      <c r="U152" s="23"/>
      <c r="V152" s="23"/>
      <c r="W152" s="23"/>
    </row>
    <row r="153" spans="1:23" hidden="1">
      <c r="A153" s="17"/>
      <c r="B153" s="17"/>
      <c r="C153" s="17"/>
      <c r="D153" s="17"/>
      <c r="E153" s="17"/>
      <c r="F153" s="17"/>
      <c r="G153" s="17"/>
      <c r="H153" s="17" t="str">
        <f>IF($H$129=16,O138,"")</f>
        <v/>
      </c>
      <c r="I153" s="17"/>
      <c r="J153" s="152" t="str">
        <f>IF($J$129=16,O138,"")</f>
        <v/>
      </c>
      <c r="K153" s="17"/>
      <c r="L153" s="17"/>
      <c r="M153" s="17"/>
      <c r="N153" s="17"/>
      <c r="O153" s="17"/>
      <c r="P153" s="17"/>
      <c r="Q153" s="17"/>
      <c r="R153" s="17"/>
      <c r="S153" s="22"/>
      <c r="T153" s="21"/>
      <c r="U153" s="23"/>
      <c r="V153" s="23"/>
      <c r="W153" s="23"/>
    </row>
    <row r="154" spans="1:23" hidden="1">
      <c r="A154" s="17"/>
      <c r="B154" s="27"/>
      <c r="C154" s="17"/>
      <c r="D154" s="17"/>
      <c r="E154" s="17"/>
      <c r="F154" s="17"/>
      <c r="G154" s="17"/>
      <c r="H154" s="17" t="str">
        <f>IF($H$129=16,O139,"")</f>
        <v/>
      </c>
      <c r="I154" s="17"/>
      <c r="J154" s="152" t="str">
        <f>IF($J$129=16,O139,"")</f>
        <v/>
      </c>
      <c r="K154" s="17"/>
      <c r="L154" s="17"/>
      <c r="M154" s="17"/>
      <c r="N154" s="17"/>
      <c r="O154" s="17"/>
      <c r="P154" s="17"/>
      <c r="Q154" s="17"/>
      <c r="R154" s="17"/>
      <c r="S154" s="22"/>
      <c r="T154" s="21"/>
      <c r="U154" s="23"/>
      <c r="V154" s="23"/>
      <c r="W154" s="23"/>
    </row>
    <row r="155" spans="1:23" hidden="1">
      <c r="A155" s="17"/>
      <c r="B155" s="27"/>
      <c r="C155" s="71"/>
      <c r="D155" s="71"/>
      <c r="E155" s="71"/>
      <c r="F155" s="71"/>
      <c r="G155" s="17"/>
      <c r="H155" s="17"/>
      <c r="I155" s="17"/>
      <c r="J155" s="152"/>
      <c r="K155" s="17"/>
      <c r="L155" s="17"/>
      <c r="M155" s="17"/>
      <c r="N155" s="17"/>
      <c r="O155" s="17"/>
      <c r="P155" s="17"/>
      <c r="Q155" s="17"/>
      <c r="R155" s="17"/>
      <c r="S155" s="22"/>
      <c r="T155" s="21"/>
      <c r="U155" s="23"/>
      <c r="V155" s="23"/>
      <c r="W155" s="23"/>
    </row>
    <row r="156" spans="1:23" hidden="1">
      <c r="A156" s="17"/>
      <c r="B156" s="27"/>
      <c r="C156" s="71"/>
      <c r="D156" s="71"/>
      <c r="E156" s="71"/>
      <c r="F156" s="71"/>
      <c r="G156" s="17"/>
      <c r="I156" s="17"/>
      <c r="K156" s="17"/>
      <c r="L156" s="17"/>
      <c r="M156" s="17"/>
      <c r="N156" s="17"/>
      <c r="O156" s="17"/>
      <c r="P156" s="17"/>
      <c r="Q156" s="17"/>
      <c r="R156" s="17"/>
      <c r="S156" s="22"/>
      <c r="T156" s="21"/>
      <c r="U156" s="23"/>
      <c r="V156" s="23"/>
      <c r="W156" s="23"/>
    </row>
    <row r="157" spans="1:23" hidden="1">
      <c r="A157" s="17"/>
      <c r="B157" s="17"/>
      <c r="C157" s="71"/>
      <c r="D157" s="71"/>
      <c r="E157" s="71"/>
      <c r="F157" s="71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22"/>
      <c r="T157" s="21"/>
      <c r="U157" s="23"/>
      <c r="V157" s="23"/>
      <c r="W157" s="23"/>
    </row>
    <row r="158" spans="1:23" hidden="1"/>
    <row r="159" spans="1:23" hidden="1"/>
    <row r="160" spans="1:23" hidden="1"/>
    <row r="161" s="1" customFormat="1" hidden="1"/>
    <row r="162" s="1" customFormat="1" hidden="1"/>
    <row r="163" s="1" customFormat="1" hidden="1"/>
    <row r="164" s="1" customFormat="1" hidden="1"/>
    <row r="165" s="1" customFormat="1" hidden="1"/>
    <row r="166" s="1" customFormat="1" hidden="1"/>
    <row r="167" s="1" customFormat="1" hidden="1"/>
    <row r="168" s="1" customFormat="1" hidden="1"/>
    <row r="169" s="1" customFormat="1" hidden="1"/>
    <row r="170" s="1" customFormat="1" hidden="1"/>
    <row r="171" s="1" customFormat="1" hidden="1"/>
    <row r="172" s="1" customFormat="1" hidden="1"/>
    <row r="173" s="1" customFormat="1" hidden="1"/>
    <row r="174" s="1" customFormat="1" hidden="1"/>
    <row r="175" s="1" customFormat="1" hidden="1"/>
    <row r="176" s="1" customFormat="1" hidden="1"/>
    <row r="177" s="1" customFormat="1" hidden="1"/>
    <row r="178" s="1" customFormat="1" hidden="1"/>
    <row r="179" s="1" customFormat="1" hidden="1"/>
    <row r="180" s="1" customFormat="1" hidden="1"/>
    <row r="181" s="1" customFormat="1" hidden="1"/>
    <row r="182" s="1" customFormat="1" hidden="1"/>
    <row r="183" s="1" customFormat="1" hidden="1"/>
    <row r="184" s="1" customFormat="1" hidden="1"/>
    <row r="185" s="1" customFormat="1" hidden="1"/>
    <row r="186" s="1" customFormat="1" hidden="1"/>
    <row r="187" s="1" customFormat="1" hidden="1"/>
    <row r="188" s="1" customFormat="1" hidden="1"/>
    <row r="189" s="1" customFormat="1" hidden="1"/>
    <row r="190" s="1" customFormat="1" hidden="1"/>
    <row r="191" s="1" customFormat="1" hidden="1"/>
    <row r="192" s="1" customFormat="1" hidden="1"/>
    <row r="193" s="1" customFormat="1" hidden="1"/>
    <row r="194" s="1" customFormat="1" hidden="1"/>
    <row r="195" s="1" customFormat="1" hidden="1"/>
    <row r="196" s="1" customFormat="1" hidden="1"/>
    <row r="197" s="1" customFormat="1" hidden="1"/>
    <row r="198" s="1" customFormat="1" hidden="1"/>
    <row r="199" s="1" customFormat="1" hidden="1"/>
  </sheetData>
  <sheetProtection algorithmName="SHA-512" hashValue="54aYJtINv3Gp839Ga/ZVpiBnAn639E/7loNmv9AhuzT4yodOZmRhr9AvuGW99UL4JwEqGYs2TsWfXMMGkdupWw==" saltValue="bI513mKGOkr9CZ2MlqlTcA==" spinCount="100000" sheet="1" formatRows="0"/>
  <mergeCells count="142">
    <mergeCell ref="A4:O4"/>
    <mergeCell ref="A1:O1"/>
    <mergeCell ref="A2:O2"/>
    <mergeCell ref="A3:O3"/>
    <mergeCell ref="A6:O6"/>
    <mergeCell ref="A57:E58"/>
    <mergeCell ref="F57:K57"/>
    <mergeCell ref="L57:O57"/>
    <mergeCell ref="F58:H58"/>
    <mergeCell ref="I58:K58"/>
    <mergeCell ref="L58:M58"/>
    <mergeCell ref="N58:O58"/>
    <mergeCell ref="F53:J53"/>
    <mergeCell ref="K53:O53"/>
    <mergeCell ref="F54:J54"/>
    <mergeCell ref="K54:O54"/>
    <mergeCell ref="F55:J55"/>
    <mergeCell ref="K55:O55"/>
    <mergeCell ref="F51:J51"/>
    <mergeCell ref="K51:O51"/>
    <mergeCell ref="A52:E52"/>
    <mergeCell ref="F52:J52"/>
    <mergeCell ref="K52:O52"/>
    <mergeCell ref="B45:D45"/>
    <mergeCell ref="B46:D46"/>
    <mergeCell ref="B43:D43"/>
    <mergeCell ref="G23:I23"/>
    <mergeCell ref="G24:I24"/>
    <mergeCell ref="J23:L23"/>
    <mergeCell ref="J24:L24"/>
    <mergeCell ref="M23:O23"/>
    <mergeCell ref="M24:O24"/>
    <mergeCell ref="M27:O27"/>
    <mergeCell ref="E34:F34"/>
    <mergeCell ref="G34:I34"/>
    <mergeCell ref="G26:I26"/>
    <mergeCell ref="G25:I25"/>
    <mergeCell ref="B27:D27"/>
    <mergeCell ref="E27:F27"/>
    <mergeCell ref="E25:F25"/>
    <mergeCell ref="E26:F26"/>
    <mergeCell ref="E28:F28"/>
    <mergeCell ref="E29:F29"/>
    <mergeCell ref="B34:D34"/>
    <mergeCell ref="J25:L25"/>
    <mergeCell ref="J26:L26"/>
    <mergeCell ref="J28:L28"/>
    <mergeCell ref="M28:O28"/>
    <mergeCell ref="B47:D47"/>
    <mergeCell ref="G28:I28"/>
    <mergeCell ref="G29:I29"/>
    <mergeCell ref="B44:D44"/>
    <mergeCell ref="B41:D41"/>
    <mergeCell ref="B42:D42"/>
    <mergeCell ref="B40:D40"/>
    <mergeCell ref="E41:O41"/>
    <mergeCell ref="E40:O40"/>
    <mergeCell ref="B30:D30"/>
    <mergeCell ref="E30:F30"/>
    <mergeCell ref="B32:D32"/>
    <mergeCell ref="E33:F33"/>
    <mergeCell ref="J33:L33"/>
    <mergeCell ref="J34:L34"/>
    <mergeCell ref="J30:L30"/>
    <mergeCell ref="M30:O30"/>
    <mergeCell ref="J31:L31"/>
    <mergeCell ref="M31:O31"/>
    <mergeCell ref="J32:L32"/>
    <mergeCell ref="G30:I30"/>
    <mergeCell ref="G31:I31"/>
    <mergeCell ref="G32:I32"/>
    <mergeCell ref="G33:I33"/>
    <mergeCell ref="B77:E77"/>
    <mergeCell ref="B78:E78"/>
    <mergeCell ref="A81:N81"/>
    <mergeCell ref="A59:E59"/>
    <mergeCell ref="F59:H59"/>
    <mergeCell ref="I59:K59"/>
    <mergeCell ref="L59:M59"/>
    <mergeCell ref="N59:O59"/>
    <mergeCell ref="A60:E60"/>
    <mergeCell ref="K11:O11"/>
    <mergeCell ref="E42:O42"/>
    <mergeCell ref="E43:O43"/>
    <mergeCell ref="E44:O44"/>
    <mergeCell ref="J29:L29"/>
    <mergeCell ref="M29:O29"/>
    <mergeCell ref="J21:L21"/>
    <mergeCell ref="G27:I27"/>
    <mergeCell ref="J27:L27"/>
    <mergeCell ref="E23:F23"/>
    <mergeCell ref="E24:F24"/>
    <mergeCell ref="E31:F31"/>
    <mergeCell ref="E32:F32"/>
    <mergeCell ref="E20:I20"/>
    <mergeCell ref="E21:F21"/>
    <mergeCell ref="G21:I21"/>
    <mergeCell ref="M32:O32"/>
    <mergeCell ref="M33:O33"/>
    <mergeCell ref="M34:O34"/>
    <mergeCell ref="M25:O25"/>
    <mergeCell ref="M26:O26"/>
    <mergeCell ref="A20:A21"/>
    <mergeCell ref="B20:D21"/>
    <mergeCell ref="A14:E14"/>
    <mergeCell ref="F14:J14"/>
    <mergeCell ref="K14:O14"/>
    <mergeCell ref="B22:D22"/>
    <mergeCell ref="E22:F22"/>
    <mergeCell ref="M22:O22"/>
    <mergeCell ref="M21:O21"/>
    <mergeCell ref="J22:L22"/>
    <mergeCell ref="J20:O20"/>
    <mergeCell ref="F15:J16"/>
    <mergeCell ref="K15:O15"/>
    <mergeCell ref="K16:L16"/>
    <mergeCell ref="N16:O16"/>
    <mergeCell ref="G22:I22"/>
    <mergeCell ref="H106:I106"/>
    <mergeCell ref="F60:H60"/>
    <mergeCell ref="I60:K60"/>
    <mergeCell ref="N60:O60"/>
    <mergeCell ref="L60:M60"/>
    <mergeCell ref="A5:O5"/>
    <mergeCell ref="A9:E9"/>
    <mergeCell ref="F9:J9"/>
    <mergeCell ref="K9:O9"/>
    <mergeCell ref="A12:E12"/>
    <mergeCell ref="F12:J12"/>
    <mergeCell ref="K12:O12"/>
    <mergeCell ref="A13:E13"/>
    <mergeCell ref="F13:J13"/>
    <mergeCell ref="K13:O13"/>
    <mergeCell ref="A10:E10"/>
    <mergeCell ref="F10:J10"/>
    <mergeCell ref="K10:O10"/>
    <mergeCell ref="A11:E11"/>
    <mergeCell ref="F11:J11"/>
    <mergeCell ref="E45:O45"/>
    <mergeCell ref="E46:O46"/>
    <mergeCell ref="E47:O47"/>
    <mergeCell ref="A15:E16"/>
  </mergeCells>
  <conditionalFormatting sqref="A5:O5">
    <cfRule type="cellIs" dxfId="71" priority="71" operator="equal">
      <formula>""</formula>
    </cfRule>
  </conditionalFormatting>
  <conditionalFormatting sqref="E22">
    <cfRule type="expression" dxfId="70" priority="73">
      <formula>E22&gt;0</formula>
    </cfRule>
  </conditionalFormatting>
  <conditionalFormatting sqref="F15">
    <cfRule type="cellIs" dxfId="69" priority="66" operator="equal">
      <formula>""</formula>
    </cfRule>
  </conditionalFormatting>
  <conditionalFormatting sqref="F10:O14">
    <cfRule type="cellIs" dxfId="68" priority="62" operator="equal">
      <formula>""</formula>
    </cfRule>
  </conditionalFormatting>
  <conditionalFormatting sqref="F52:O54">
    <cfRule type="cellIs" dxfId="67" priority="61" operator="equal">
      <formula>""</formula>
    </cfRule>
  </conditionalFormatting>
  <conditionalFormatting sqref="N16">
    <cfRule type="cellIs" dxfId="66" priority="56" operator="equal">
      <formula>""</formula>
    </cfRule>
  </conditionalFormatting>
  <conditionalFormatting sqref="K15:O15">
    <cfRule type="cellIs" dxfId="65" priority="55" operator="equal">
      <formula>""</formula>
    </cfRule>
  </conditionalFormatting>
  <conditionalFormatting sqref="E23">
    <cfRule type="expression" dxfId="64" priority="53">
      <formula>E23&gt;0</formula>
    </cfRule>
  </conditionalFormatting>
  <conditionalFormatting sqref="E24">
    <cfRule type="expression" dxfId="63" priority="52">
      <formula>E24&gt;0</formula>
    </cfRule>
  </conditionalFormatting>
  <conditionalFormatting sqref="E25">
    <cfRule type="expression" dxfId="62" priority="51">
      <formula>E25&gt;0</formula>
    </cfRule>
  </conditionalFormatting>
  <conditionalFormatting sqref="E26">
    <cfRule type="expression" dxfId="61" priority="50">
      <formula>E26&gt;0</formula>
    </cfRule>
  </conditionalFormatting>
  <conditionalFormatting sqref="E27">
    <cfRule type="expression" dxfId="60" priority="49">
      <formula>E27&gt;0</formula>
    </cfRule>
  </conditionalFormatting>
  <conditionalFormatting sqref="E28">
    <cfRule type="expression" dxfId="59" priority="48">
      <formula>E28&gt;0</formula>
    </cfRule>
  </conditionalFormatting>
  <conditionalFormatting sqref="E29">
    <cfRule type="expression" dxfId="58" priority="47">
      <formula>E29&gt;0</formula>
    </cfRule>
  </conditionalFormatting>
  <conditionalFormatting sqref="E30">
    <cfRule type="expression" dxfId="57" priority="46">
      <formula>E30&gt;0</formula>
    </cfRule>
  </conditionalFormatting>
  <conditionalFormatting sqref="E31">
    <cfRule type="expression" dxfId="56" priority="45">
      <formula>E31&gt;0</formula>
    </cfRule>
  </conditionalFormatting>
  <conditionalFormatting sqref="E32">
    <cfRule type="expression" dxfId="55" priority="44">
      <formula>E32&gt;0</formula>
    </cfRule>
  </conditionalFormatting>
  <conditionalFormatting sqref="E33">
    <cfRule type="expression" dxfId="54" priority="43">
      <formula>E33&gt;0</formula>
    </cfRule>
  </conditionalFormatting>
  <conditionalFormatting sqref="J22">
    <cfRule type="expression" dxfId="53" priority="42">
      <formula>J22&gt;0</formula>
    </cfRule>
  </conditionalFormatting>
  <conditionalFormatting sqref="J23">
    <cfRule type="expression" dxfId="52" priority="41">
      <formula>J23&gt;0</formula>
    </cfRule>
  </conditionalFormatting>
  <conditionalFormatting sqref="J24">
    <cfRule type="expression" dxfId="51" priority="40">
      <formula>J24&gt;0</formula>
    </cfRule>
  </conditionalFormatting>
  <conditionalFormatting sqref="J25">
    <cfRule type="expression" dxfId="50" priority="39">
      <formula>J25&gt;0</formula>
    </cfRule>
  </conditionalFormatting>
  <conditionalFormatting sqref="J26">
    <cfRule type="expression" dxfId="49" priority="38">
      <formula>J26&gt;0</formula>
    </cfRule>
  </conditionalFormatting>
  <conditionalFormatting sqref="J27">
    <cfRule type="expression" dxfId="48" priority="37">
      <formula>J27&gt;0</formula>
    </cfRule>
  </conditionalFormatting>
  <conditionalFormatting sqref="J28">
    <cfRule type="expression" dxfId="47" priority="36">
      <formula>J28&gt;0</formula>
    </cfRule>
  </conditionalFormatting>
  <conditionalFormatting sqref="J29">
    <cfRule type="expression" dxfId="46" priority="35">
      <formula>J29&gt;0</formula>
    </cfRule>
  </conditionalFormatting>
  <conditionalFormatting sqref="J31">
    <cfRule type="expression" dxfId="45" priority="34">
      <formula>J31&gt;0</formula>
    </cfRule>
  </conditionalFormatting>
  <conditionalFormatting sqref="J30">
    <cfRule type="expression" dxfId="44" priority="33">
      <formula>J30&gt;0</formula>
    </cfRule>
  </conditionalFormatting>
  <conditionalFormatting sqref="J32">
    <cfRule type="expression" dxfId="43" priority="32">
      <formula>J32&gt;0</formula>
    </cfRule>
  </conditionalFormatting>
  <conditionalFormatting sqref="J33">
    <cfRule type="expression" dxfId="42" priority="31">
      <formula>J33&gt;0</formula>
    </cfRule>
  </conditionalFormatting>
  <conditionalFormatting sqref="J34">
    <cfRule type="expression" dxfId="41" priority="30">
      <formula>J34&gt;0</formula>
    </cfRule>
  </conditionalFormatting>
  <conditionalFormatting sqref="B34">
    <cfRule type="expression" dxfId="40" priority="28">
      <formula>B34&gt;0</formula>
    </cfRule>
  </conditionalFormatting>
  <conditionalFormatting sqref="E42">
    <cfRule type="expression" dxfId="39" priority="25">
      <formula>E42&gt;0</formula>
    </cfRule>
  </conditionalFormatting>
  <conditionalFormatting sqref="E41">
    <cfRule type="expression" dxfId="38" priority="26">
      <formula>E41&gt;0</formula>
    </cfRule>
  </conditionalFormatting>
  <conditionalFormatting sqref="E43">
    <cfRule type="expression" dxfId="37" priority="24">
      <formula>E43&gt;0</formula>
    </cfRule>
  </conditionalFormatting>
  <conditionalFormatting sqref="E44">
    <cfRule type="expression" dxfId="36" priority="23">
      <formula>E44&gt;0</formula>
    </cfRule>
  </conditionalFormatting>
  <conditionalFormatting sqref="E45">
    <cfRule type="expression" dxfId="35" priority="22">
      <formula>E45&gt;0</formula>
    </cfRule>
  </conditionalFormatting>
  <conditionalFormatting sqref="E46">
    <cfRule type="expression" dxfId="34" priority="21">
      <formula>E46&gt;0</formula>
    </cfRule>
  </conditionalFormatting>
  <conditionalFormatting sqref="E47">
    <cfRule type="expression" dxfId="33" priority="20">
      <formula>E47&gt;0</formula>
    </cfRule>
  </conditionalFormatting>
  <conditionalFormatting sqref="M22">
    <cfRule type="expression" dxfId="32" priority="19">
      <formula>M22&gt;0</formula>
    </cfRule>
  </conditionalFormatting>
  <conditionalFormatting sqref="M23">
    <cfRule type="expression" dxfId="31" priority="18">
      <formula>M23&gt;0</formula>
    </cfRule>
  </conditionalFormatting>
  <conditionalFormatting sqref="M24">
    <cfRule type="expression" dxfId="30" priority="17">
      <formula>M24&gt;0</formula>
    </cfRule>
  </conditionalFormatting>
  <conditionalFormatting sqref="M25">
    <cfRule type="expression" dxfId="29" priority="16">
      <formula>M25&gt;0</formula>
    </cfRule>
  </conditionalFormatting>
  <conditionalFormatting sqref="M26">
    <cfRule type="expression" dxfId="28" priority="15">
      <formula>M26&gt;0</formula>
    </cfRule>
  </conditionalFormatting>
  <conditionalFormatting sqref="M27">
    <cfRule type="expression" dxfId="27" priority="14">
      <formula>M27&gt;0</formula>
    </cfRule>
  </conditionalFormatting>
  <conditionalFormatting sqref="M28">
    <cfRule type="expression" dxfId="26" priority="13">
      <formula>M28&gt;0</formula>
    </cfRule>
  </conditionalFormatting>
  <conditionalFormatting sqref="M29">
    <cfRule type="expression" dxfId="25" priority="12">
      <formula>M29&gt;0</formula>
    </cfRule>
  </conditionalFormatting>
  <conditionalFormatting sqref="M30">
    <cfRule type="expression" dxfId="24" priority="11">
      <formula>M30&gt;0</formula>
    </cfRule>
  </conditionalFormatting>
  <conditionalFormatting sqref="M31">
    <cfRule type="expression" dxfId="23" priority="10">
      <formula>M31&gt;0</formula>
    </cfRule>
  </conditionalFormatting>
  <conditionalFormatting sqref="M32">
    <cfRule type="expression" dxfId="22" priority="9">
      <formula>M32&gt;0</formula>
    </cfRule>
  </conditionalFormatting>
  <conditionalFormatting sqref="M33">
    <cfRule type="expression" dxfId="21" priority="8">
      <formula>M33&gt;0</formula>
    </cfRule>
  </conditionalFormatting>
  <conditionalFormatting sqref="M34">
    <cfRule type="expression" dxfId="20" priority="7">
      <formula>M34&gt;0</formula>
    </cfRule>
  </conditionalFormatting>
  <conditionalFormatting sqref="G34">
    <cfRule type="expression" dxfId="19" priority="1">
      <formula>G34&gt;0</formula>
    </cfRule>
  </conditionalFormatting>
  <conditionalFormatting sqref="G30">
    <cfRule type="expression" dxfId="18" priority="6">
      <formula>G30&gt;0</formula>
    </cfRule>
  </conditionalFormatting>
  <conditionalFormatting sqref="G31">
    <cfRule type="expression" dxfId="17" priority="5">
      <formula>G31&gt;0</formula>
    </cfRule>
  </conditionalFormatting>
  <conditionalFormatting sqref="G32">
    <cfRule type="expression" dxfId="16" priority="4">
      <formula>G32&gt;0</formula>
    </cfRule>
  </conditionalFormatting>
  <conditionalFormatting sqref="G33">
    <cfRule type="expression" dxfId="15" priority="3">
      <formula>G33&gt;0</formula>
    </cfRule>
  </conditionalFormatting>
  <conditionalFormatting sqref="E34">
    <cfRule type="expression" dxfId="14" priority="2">
      <formula>E34&gt;0</formula>
    </cfRule>
  </conditionalFormatting>
  <dataValidations disablePrompts="1" count="8">
    <dataValidation type="list" allowBlank="1" showInputMessage="1" showErrorMessage="1" sqref="K53:O53" xr:uid="{00000000-0002-0000-0500-000001000000}">
      <formula1>$J$131:$J$155</formula1>
    </dataValidation>
    <dataValidation type="list" allowBlank="1" showInputMessage="1" showErrorMessage="1" sqref="F53:J53" xr:uid="{00000000-0002-0000-0500-000002000000}">
      <formula1>$H$131:$H$155</formula1>
    </dataValidation>
    <dataValidation type="list" allowBlank="1" showInputMessage="1" showErrorMessage="1" sqref="F52:O52" xr:uid="{00000000-0002-0000-0500-000003000000}">
      <formula1>$K$110:$K$126</formula1>
    </dataValidation>
    <dataValidation type="decimal" allowBlank="1" showInputMessage="1" showErrorMessage="1" error="Należy wprowadzić prawidłową wartość współczynnika przenikania U" sqref="J22:J34" xr:uid="{00000000-0002-0000-0500-000005000000}">
      <formula1>0</formula1>
      <formula2>10</formula2>
    </dataValidation>
    <dataValidation type="decimal" operator="greaterThan" allowBlank="1" showInputMessage="1" showErrorMessage="1" sqref="F14:O14" xr:uid="{00000000-0002-0000-0500-000008000000}">
      <formula1>1</formula1>
    </dataValidation>
    <dataValidation type="decimal" operator="greaterThan" allowBlank="1" showInputMessage="1" showErrorMessage="1" sqref="F11:O12" xr:uid="{00000000-0002-0000-0500-000009000000}">
      <formula1>0</formula1>
    </dataValidation>
    <dataValidation type="decimal" allowBlank="1" showInputMessage="1" showErrorMessage="1" sqref="F13:O13 N16" xr:uid="{00000000-0002-0000-0500-00000A000000}">
      <formula1>0</formula1>
      <formula2>100</formula2>
    </dataValidation>
    <dataValidation type="decimal" operator="greaterThan" allowBlank="1" showInputMessage="1" showErrorMessage="1" error="Należy wprowadzić prawidłową wartość współczynnika przenikania U" sqref="M22:O34" xr:uid="{161C1686-1A2D-4C28-8BDC-35C532FAC5C0}">
      <formula1>0</formula1>
    </dataValidation>
  </dataValidations>
  <pageMargins left="0.7" right="0.7" top="0.75" bottom="0.75" header="0.3" footer="0.3"/>
  <pageSetup paperSize="9" orientation="portrait" r:id="rId1"/>
  <headerFooter>
    <oddFooter>&amp;C&amp;"-,Standardowy"Strona &amp;P z &amp;N&amp;R&amp;"-,Standardowy"&amp;8v2022-1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01"/>
  <sheetViews>
    <sheetView view="pageBreakPreview" zoomScale="85" zoomScaleNormal="100" zoomScaleSheetLayoutView="85" workbookViewId="0">
      <selection sqref="A1:T1"/>
    </sheetView>
  </sheetViews>
  <sheetFormatPr defaultRowHeight="14.25"/>
  <cols>
    <col min="1" max="7" width="3.625" style="1" customWidth="1"/>
    <col min="8" max="8" width="4.75" style="1" customWidth="1"/>
    <col min="9" max="11" width="5.25" style="1" customWidth="1"/>
    <col min="12" max="12" width="3.625" style="1" customWidth="1"/>
    <col min="13" max="13" width="5" style="1" customWidth="1"/>
    <col min="14" max="14" width="3.625" style="1" customWidth="1"/>
    <col min="15" max="15" width="5.25" style="1" customWidth="1"/>
    <col min="16" max="17" width="3.625" style="1" customWidth="1"/>
    <col min="18" max="18" width="5.125" style="1" customWidth="1"/>
    <col min="19" max="20" width="3.625" style="1" customWidth="1"/>
    <col min="21" max="16384" width="9" style="1"/>
  </cols>
  <sheetData>
    <row r="1" spans="1:20" ht="15.75" customHeight="1">
      <c r="A1" s="374" t="s">
        <v>284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</row>
    <row r="2" spans="1:20" ht="13.5" customHeight="1">
      <c r="A2" s="375" t="s">
        <v>216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</row>
    <row r="3" spans="1:20" ht="13.5" customHeight="1">
      <c r="A3" s="525" t="s">
        <v>285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</row>
    <row r="4" spans="1:20" ht="3.75" customHeight="1">
      <c r="A4" s="408"/>
      <c r="B4" s="408"/>
      <c r="C4" s="408"/>
      <c r="D4" s="408"/>
      <c r="E4" s="408"/>
      <c r="F4" s="408"/>
      <c r="M4" s="17"/>
      <c r="N4" s="139"/>
      <c r="O4" s="139"/>
      <c r="P4" s="139"/>
      <c r="Q4" s="139"/>
      <c r="R4" s="139"/>
      <c r="S4" s="139"/>
      <c r="T4" s="131"/>
    </row>
    <row r="5" spans="1:20" ht="34.5" customHeight="1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</row>
    <row r="6" spans="1:20" ht="11.25" customHeight="1">
      <c r="A6" s="377" t="s">
        <v>185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7"/>
      <c r="Q6" s="377"/>
      <c r="R6" s="377"/>
      <c r="S6" s="377"/>
      <c r="T6" s="377"/>
    </row>
    <row r="7" spans="1:20" ht="6" customHeight="1">
      <c r="A7" s="178"/>
      <c r="B7" s="178"/>
      <c r="C7" s="178"/>
      <c r="D7" s="178"/>
      <c r="E7" s="178"/>
      <c r="F7" s="178"/>
      <c r="M7" s="17"/>
      <c r="N7" s="131"/>
      <c r="O7" s="131"/>
      <c r="P7" s="131"/>
      <c r="Q7" s="131"/>
      <c r="R7" s="131"/>
      <c r="S7" s="131"/>
      <c r="T7" s="131"/>
    </row>
    <row r="8" spans="1:20" ht="15">
      <c r="A8" s="158" t="s">
        <v>357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165"/>
      <c r="P8" s="131"/>
      <c r="Q8" s="131"/>
      <c r="R8" s="131"/>
      <c r="S8" s="131"/>
      <c r="T8" s="131"/>
    </row>
    <row r="9" spans="1:20" ht="3" customHeight="1">
      <c r="A9" s="231"/>
      <c r="B9" s="231"/>
      <c r="C9" s="231"/>
      <c r="D9" s="231"/>
      <c r="E9" s="231"/>
      <c r="F9" s="231"/>
      <c r="G9" s="231"/>
      <c r="H9" s="231"/>
      <c r="I9" s="2"/>
      <c r="J9" s="2"/>
      <c r="K9" s="167"/>
      <c r="L9" s="167"/>
      <c r="M9" s="2"/>
      <c r="N9" s="168"/>
      <c r="O9" s="168"/>
      <c r="P9" s="2"/>
      <c r="Q9" s="167"/>
      <c r="R9" s="167"/>
      <c r="S9" s="167"/>
      <c r="T9" s="167"/>
    </row>
    <row r="10" spans="1:20" ht="24.75" customHeight="1">
      <c r="A10" s="526"/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6"/>
      <c r="T10" s="526"/>
    </row>
    <row r="11" spans="1:20" ht="5.25" customHeight="1">
      <c r="A11" s="163"/>
      <c r="B11" s="167"/>
      <c r="C11" s="168"/>
      <c r="D11" s="168"/>
      <c r="E11" s="169"/>
      <c r="F11" s="170"/>
      <c r="G11" s="171"/>
      <c r="I11" s="2"/>
      <c r="J11" s="2"/>
      <c r="K11" s="172"/>
      <c r="L11" s="172"/>
      <c r="M11" s="2"/>
      <c r="N11" s="167"/>
      <c r="O11" s="2"/>
      <c r="P11" s="2"/>
      <c r="Q11" s="167"/>
      <c r="R11" s="167"/>
      <c r="S11" s="167"/>
      <c r="T11" s="2"/>
    </row>
    <row r="12" spans="1:20" ht="15">
      <c r="A12" s="158" t="s">
        <v>286</v>
      </c>
      <c r="B12" s="172"/>
      <c r="C12" s="167"/>
      <c r="D12" s="173"/>
      <c r="E12" s="167"/>
      <c r="F12" s="168"/>
      <c r="G12" s="168"/>
      <c r="I12" s="2"/>
      <c r="J12" s="2"/>
      <c r="K12" s="172"/>
      <c r="L12" s="172"/>
      <c r="M12" s="2"/>
      <c r="N12" s="167"/>
      <c r="O12" s="2"/>
      <c r="P12" s="2"/>
      <c r="Q12" s="167"/>
      <c r="R12" s="167"/>
      <c r="S12" s="167"/>
      <c r="T12" s="2"/>
    </row>
    <row r="13" spans="1:20" ht="3.75" customHeight="1">
      <c r="A13" s="231"/>
      <c r="B13" s="172"/>
      <c r="C13" s="167"/>
      <c r="D13" s="173"/>
      <c r="E13" s="167"/>
      <c r="F13" s="168"/>
      <c r="G13" s="168"/>
      <c r="I13" s="2"/>
      <c r="J13" s="2"/>
      <c r="K13" s="172"/>
      <c r="L13" s="172"/>
      <c r="M13" s="2"/>
      <c r="N13" s="167"/>
      <c r="O13" s="2"/>
      <c r="P13" s="2"/>
      <c r="Q13" s="167"/>
      <c r="R13" s="167"/>
      <c r="S13" s="167"/>
      <c r="T13" s="2"/>
    </row>
    <row r="14" spans="1:20">
      <c r="A14" s="527" t="s">
        <v>287</v>
      </c>
      <c r="B14" s="527"/>
      <c r="C14" s="527"/>
      <c r="D14" s="527"/>
      <c r="E14" s="527"/>
      <c r="F14" s="528" t="s">
        <v>288</v>
      </c>
      <c r="G14" s="528"/>
      <c r="H14" s="528"/>
      <c r="I14" s="529"/>
      <c r="J14" s="529"/>
      <c r="K14" s="529"/>
      <c r="L14" s="529"/>
      <c r="M14" s="2"/>
      <c r="N14" s="167"/>
      <c r="O14" s="2"/>
      <c r="P14" s="2"/>
      <c r="Q14" s="167"/>
      <c r="R14" s="167"/>
      <c r="S14" s="167"/>
      <c r="T14" s="2"/>
    </row>
    <row r="15" spans="1:20">
      <c r="A15" s="530" t="s">
        <v>289</v>
      </c>
      <c r="B15" s="530"/>
      <c r="C15" s="530"/>
      <c r="D15" s="530"/>
      <c r="E15" s="530"/>
      <c r="F15" s="530"/>
      <c r="G15" s="530"/>
      <c r="H15" s="530"/>
      <c r="I15" s="530"/>
      <c r="J15" s="163"/>
      <c r="K15" s="163"/>
      <c r="L15" s="163"/>
      <c r="M15" s="163"/>
      <c r="N15" s="163"/>
      <c r="O15" s="163"/>
      <c r="P15" s="2"/>
      <c r="Q15" s="163"/>
      <c r="R15" s="163"/>
      <c r="S15" s="163"/>
      <c r="T15" s="2"/>
    </row>
    <row r="16" spans="1:20">
      <c r="A16" s="531" t="s">
        <v>290</v>
      </c>
      <c r="B16" s="531"/>
      <c r="C16" s="531"/>
      <c r="D16" s="531"/>
      <c r="E16" s="531"/>
      <c r="F16" s="532" t="s">
        <v>372</v>
      </c>
      <c r="G16" s="532"/>
      <c r="H16" s="532"/>
      <c r="I16" s="533"/>
      <c r="J16" s="533"/>
      <c r="K16" s="533"/>
      <c r="L16" s="533"/>
      <c r="M16" s="231"/>
      <c r="N16" s="231"/>
      <c r="P16" s="231"/>
      <c r="Q16" s="231"/>
      <c r="R16" s="231"/>
      <c r="S16" s="231"/>
      <c r="T16" s="231"/>
    </row>
    <row r="17" spans="1:20">
      <c r="A17" s="527" t="s">
        <v>291</v>
      </c>
      <c r="B17" s="527"/>
      <c r="C17" s="527"/>
      <c r="D17" s="527"/>
      <c r="E17" s="527"/>
      <c r="F17" s="536" t="s">
        <v>371</v>
      </c>
      <c r="G17" s="536"/>
      <c r="H17" s="536"/>
      <c r="I17" s="533"/>
      <c r="J17" s="533"/>
      <c r="K17" s="533"/>
      <c r="L17" s="533"/>
    </row>
    <row r="18" spans="1:20">
      <c r="A18" s="527" t="s">
        <v>292</v>
      </c>
      <c r="B18" s="527"/>
      <c r="C18" s="527"/>
      <c r="D18" s="527"/>
      <c r="E18" s="527"/>
      <c r="F18" s="536" t="s">
        <v>293</v>
      </c>
      <c r="G18" s="536"/>
      <c r="H18" s="536"/>
      <c r="I18" s="533"/>
      <c r="J18" s="533"/>
      <c r="K18" s="533"/>
      <c r="L18" s="533"/>
      <c r="P18" s="131"/>
      <c r="Q18" s="131"/>
      <c r="R18" s="131"/>
      <c r="S18" s="131"/>
      <c r="T18" s="131"/>
    </row>
    <row r="19" spans="1:20">
      <c r="A19" s="527" t="s">
        <v>294</v>
      </c>
      <c r="B19" s="527"/>
      <c r="C19" s="527"/>
      <c r="D19" s="527"/>
      <c r="E19" s="527"/>
      <c r="F19" s="535" t="s">
        <v>295</v>
      </c>
      <c r="G19" s="535"/>
      <c r="H19" s="535"/>
      <c r="I19" s="434"/>
      <c r="J19" s="434"/>
      <c r="K19" s="434"/>
      <c r="L19" s="434"/>
      <c r="M19" s="231"/>
      <c r="N19" s="231"/>
      <c r="O19" s="231"/>
      <c r="P19" s="231"/>
      <c r="Q19" s="231"/>
      <c r="R19" s="231"/>
      <c r="S19" s="231"/>
      <c r="T19" s="231"/>
    </row>
    <row r="20" spans="1:20" ht="29.25" customHeight="1">
      <c r="A20" s="527" t="s">
        <v>296</v>
      </c>
      <c r="B20" s="527"/>
      <c r="C20" s="527"/>
      <c r="D20" s="527"/>
      <c r="E20" s="527"/>
      <c r="F20" s="434"/>
      <c r="G20" s="434"/>
      <c r="H20" s="434"/>
      <c r="I20" s="434"/>
      <c r="J20" s="434"/>
      <c r="K20" s="434"/>
      <c r="L20" s="434"/>
      <c r="M20" s="231"/>
      <c r="N20" s="231"/>
      <c r="O20" s="231"/>
      <c r="P20" s="231"/>
      <c r="Q20" s="231"/>
      <c r="R20" s="231"/>
      <c r="S20" s="231"/>
      <c r="T20" s="231"/>
    </row>
    <row r="21" spans="1:20" ht="3.75" customHeight="1">
      <c r="A21" s="174"/>
      <c r="B21" s="175"/>
      <c r="C21" s="175"/>
      <c r="D21" s="175"/>
      <c r="E21" s="175"/>
      <c r="F21" s="175"/>
      <c r="L21" s="231"/>
      <c r="M21" s="231"/>
      <c r="N21" s="231"/>
      <c r="O21" s="231"/>
      <c r="P21" s="231"/>
      <c r="Q21" s="231"/>
      <c r="R21" s="231"/>
      <c r="S21" s="231"/>
      <c r="T21" s="231"/>
    </row>
    <row r="22" spans="1:20" ht="26.25" customHeight="1">
      <c r="A22" s="538" t="s">
        <v>341</v>
      </c>
      <c r="B22" s="538"/>
      <c r="C22" s="538"/>
      <c r="D22" s="538"/>
      <c r="E22" s="538"/>
      <c r="F22" s="538"/>
      <c r="G22" s="538"/>
      <c r="H22" s="538"/>
      <c r="I22" s="538"/>
      <c r="J22" s="538"/>
      <c r="K22" s="538"/>
      <c r="L22" s="538"/>
      <c r="M22" s="538"/>
      <c r="N22" s="538"/>
      <c r="O22" s="538"/>
      <c r="P22" s="538"/>
      <c r="Q22" s="538"/>
      <c r="R22" s="538"/>
      <c r="S22" s="538"/>
      <c r="T22" s="538"/>
    </row>
    <row r="23" spans="1:20" ht="3.75" customHeight="1">
      <c r="A23" s="158"/>
      <c r="B23" s="175"/>
      <c r="C23" s="175"/>
      <c r="D23" s="175"/>
      <c r="E23" s="175"/>
      <c r="F23" s="175"/>
      <c r="L23" s="231"/>
      <c r="M23" s="231"/>
      <c r="N23" s="231"/>
      <c r="O23" s="231"/>
      <c r="P23" s="231"/>
      <c r="Q23" s="231"/>
      <c r="R23" s="231"/>
      <c r="S23" s="231"/>
      <c r="T23" s="231"/>
    </row>
    <row r="24" spans="1:20">
      <c r="A24" s="527" t="s">
        <v>297</v>
      </c>
      <c r="B24" s="527"/>
      <c r="C24" s="527"/>
      <c r="D24" s="527"/>
      <c r="E24" s="527"/>
      <c r="F24" s="527"/>
      <c r="G24" s="527"/>
      <c r="H24" s="527"/>
      <c r="I24" s="527"/>
      <c r="J24" s="527"/>
      <c r="K24" s="527"/>
      <c r="L24" s="527"/>
      <c r="M24" s="537"/>
      <c r="N24" s="537"/>
      <c r="O24" s="537"/>
      <c r="P24" s="231"/>
      <c r="S24" s="231"/>
      <c r="T24" s="231"/>
    </row>
    <row r="25" spans="1:20">
      <c r="A25" s="527" t="s">
        <v>298</v>
      </c>
      <c r="B25" s="527"/>
      <c r="C25" s="527"/>
      <c r="D25" s="527"/>
      <c r="E25" s="527"/>
      <c r="F25" s="527"/>
      <c r="G25" s="527"/>
      <c r="H25" s="527"/>
      <c r="I25" s="527"/>
      <c r="J25" s="527"/>
      <c r="K25" s="527"/>
      <c r="L25" s="527"/>
      <c r="M25" s="537"/>
      <c r="N25" s="537"/>
      <c r="O25" s="537"/>
      <c r="P25" s="231"/>
      <c r="S25" s="231"/>
      <c r="T25" s="231"/>
    </row>
    <row r="26" spans="1:20" ht="28.5" customHeight="1">
      <c r="A26" s="539" t="s">
        <v>299</v>
      </c>
      <c r="B26" s="539"/>
      <c r="C26" s="539"/>
      <c r="D26" s="539"/>
      <c r="E26" s="539"/>
      <c r="F26" s="539"/>
      <c r="G26" s="539"/>
      <c r="H26" s="539"/>
      <c r="I26" s="539"/>
      <c r="J26" s="539"/>
      <c r="K26" s="539"/>
      <c r="L26" s="539"/>
      <c r="M26" s="537"/>
      <c r="N26" s="537"/>
      <c r="O26" s="537"/>
      <c r="P26" s="231"/>
      <c r="S26" s="231"/>
      <c r="T26" s="231"/>
    </row>
    <row r="27" spans="1:20">
      <c r="A27" s="527" t="s">
        <v>358</v>
      </c>
      <c r="B27" s="527"/>
      <c r="C27" s="527"/>
      <c r="D27" s="527"/>
      <c r="E27" s="527"/>
      <c r="F27" s="527"/>
      <c r="G27" s="527"/>
      <c r="H27" s="527"/>
      <c r="I27" s="527"/>
      <c r="J27" s="527"/>
      <c r="K27" s="527"/>
      <c r="L27" s="527"/>
      <c r="M27" s="540" t="str">
        <f>IF(M26&lt;&gt;"",(((M24/3.6)*Y95)+(M25*Y94))-(M26*Y94),"N/d")</f>
        <v>N/d</v>
      </c>
      <c r="N27" s="540"/>
      <c r="O27" s="540"/>
      <c r="P27" s="231"/>
      <c r="S27" s="231"/>
      <c r="T27" s="231"/>
    </row>
    <row r="28" spans="1:20">
      <c r="A28" s="527" t="s">
        <v>387</v>
      </c>
      <c r="B28" s="527"/>
      <c r="C28" s="527"/>
      <c r="D28" s="527"/>
      <c r="E28" s="527"/>
      <c r="F28" s="527"/>
      <c r="G28" s="527"/>
      <c r="H28" s="527"/>
      <c r="I28" s="527"/>
      <c r="J28" s="527"/>
      <c r="K28" s="527"/>
      <c r="L28" s="527"/>
      <c r="M28" s="540" t="str">
        <f>IF(AND(M25&lt;&gt;"",I14&lt;&gt;""),M25*1000/I14,"N/d")</f>
        <v>N/d</v>
      </c>
      <c r="N28" s="540"/>
      <c r="O28" s="540"/>
      <c r="P28" s="286"/>
      <c r="S28" s="286"/>
      <c r="T28" s="286"/>
    </row>
    <row r="29" spans="1:20">
      <c r="A29" s="527" t="s">
        <v>388</v>
      </c>
      <c r="B29" s="527"/>
      <c r="C29" s="527"/>
      <c r="D29" s="527"/>
      <c r="E29" s="527"/>
      <c r="F29" s="527"/>
      <c r="G29" s="527"/>
      <c r="H29" s="527"/>
      <c r="I29" s="527"/>
      <c r="J29" s="527"/>
      <c r="K29" s="527"/>
      <c r="L29" s="527"/>
      <c r="M29" s="540" t="str">
        <f>IF(AND(M25&lt;&gt;"",I14&lt;&gt;""),IF(M28&gt;=900,"TAK","NIE"),"N/d")</f>
        <v>N/d</v>
      </c>
      <c r="N29" s="540"/>
      <c r="O29" s="540"/>
      <c r="P29" s="286"/>
      <c r="S29" s="286"/>
      <c r="T29" s="286"/>
    </row>
    <row r="30" spans="1:20" ht="6.75" customHeight="1">
      <c r="A30" s="158"/>
      <c r="B30" s="175"/>
      <c r="C30" s="175"/>
      <c r="D30" s="175"/>
      <c r="E30" s="175"/>
      <c r="F30" s="175"/>
      <c r="L30" s="231"/>
      <c r="M30" s="231"/>
      <c r="N30" s="231"/>
      <c r="O30" s="231"/>
      <c r="P30" s="231"/>
      <c r="Q30" s="231"/>
      <c r="R30" s="231"/>
      <c r="S30" s="231"/>
      <c r="T30" s="231"/>
    </row>
    <row r="31" spans="1:20" ht="15">
      <c r="A31" s="538" t="s">
        <v>300</v>
      </c>
      <c r="B31" s="538"/>
      <c r="C31" s="538"/>
      <c r="D31" s="538"/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538"/>
      <c r="R31" s="538"/>
      <c r="S31" s="538"/>
      <c r="T31" s="538"/>
    </row>
    <row r="32" spans="1:20" ht="2.25" customHeight="1">
      <c r="A32" s="158"/>
      <c r="B32" s="175"/>
      <c r="C32" s="175"/>
      <c r="D32" s="175"/>
      <c r="E32" s="175"/>
      <c r="F32" s="175"/>
      <c r="L32" s="231"/>
      <c r="M32" s="231"/>
      <c r="N32" s="231"/>
      <c r="O32" s="231"/>
      <c r="P32" s="231"/>
      <c r="Q32" s="231"/>
      <c r="R32" s="231"/>
      <c r="S32" s="231"/>
      <c r="T32" s="231"/>
    </row>
    <row r="33" spans="1:20">
      <c r="A33" s="527" t="s">
        <v>301</v>
      </c>
      <c r="B33" s="527"/>
      <c r="C33" s="527"/>
      <c r="D33" s="527"/>
      <c r="E33" s="527"/>
      <c r="F33" s="527"/>
      <c r="G33" s="527"/>
      <c r="H33" s="527"/>
      <c r="I33" s="527"/>
      <c r="J33" s="527"/>
      <c r="K33" s="527"/>
      <c r="L33" s="527"/>
      <c r="M33" s="537"/>
      <c r="N33" s="537"/>
      <c r="O33" s="537"/>
      <c r="P33" s="231"/>
      <c r="Q33" s="231"/>
      <c r="R33" s="231"/>
      <c r="S33" s="231"/>
      <c r="T33" s="231"/>
    </row>
    <row r="34" spans="1:20">
      <c r="A34" s="527" t="s">
        <v>302</v>
      </c>
      <c r="B34" s="527"/>
      <c r="C34" s="527"/>
      <c r="D34" s="527"/>
      <c r="E34" s="527"/>
      <c r="F34" s="527"/>
      <c r="G34" s="527"/>
      <c r="H34" s="527"/>
      <c r="I34" s="527"/>
      <c r="J34" s="527"/>
      <c r="K34" s="527"/>
      <c r="L34" s="527"/>
      <c r="M34" s="537"/>
      <c r="N34" s="537"/>
      <c r="O34" s="537"/>
      <c r="P34" s="231"/>
      <c r="Q34" s="231"/>
      <c r="R34" s="231"/>
      <c r="S34" s="231"/>
      <c r="T34" s="231"/>
    </row>
    <row r="35" spans="1:20">
      <c r="A35" s="527" t="s">
        <v>303</v>
      </c>
      <c r="B35" s="527"/>
      <c r="C35" s="527"/>
      <c r="D35" s="527"/>
      <c r="E35" s="527"/>
      <c r="F35" s="527"/>
      <c r="G35" s="527"/>
      <c r="H35" s="527"/>
      <c r="I35" s="527"/>
      <c r="J35" s="527"/>
      <c r="K35" s="527"/>
      <c r="L35" s="527"/>
      <c r="M35" s="540" t="str">
        <f>IF(M34&lt;&gt;"",M33-M34,"")</f>
        <v/>
      </c>
      <c r="N35" s="540"/>
      <c r="O35" s="540"/>
      <c r="P35" s="231"/>
      <c r="Q35" s="231"/>
      <c r="R35" s="231"/>
      <c r="S35" s="231"/>
      <c r="T35" s="231"/>
    </row>
    <row r="36" spans="1:20">
      <c r="A36" s="527" t="s">
        <v>358</v>
      </c>
      <c r="B36" s="527"/>
      <c r="C36" s="527"/>
      <c r="D36" s="527"/>
      <c r="E36" s="527"/>
      <c r="F36" s="527"/>
      <c r="G36" s="527"/>
      <c r="H36" s="527"/>
      <c r="I36" s="527"/>
      <c r="J36" s="527"/>
      <c r="K36" s="527"/>
      <c r="L36" s="527"/>
      <c r="M36" s="540" t="str">
        <f>IF(M35&lt;&gt;"",((M33-M34)*Y94),"N/d")</f>
        <v>N/d</v>
      </c>
      <c r="N36" s="540"/>
      <c r="O36" s="540"/>
      <c r="P36" s="231"/>
      <c r="Q36" s="231"/>
      <c r="R36" s="231"/>
      <c r="S36" s="231"/>
      <c r="T36" s="231"/>
    </row>
    <row r="37" spans="1:20" ht="3.75" customHeight="1">
      <c r="A37" s="158"/>
      <c r="B37" s="175"/>
      <c r="C37" s="175"/>
      <c r="D37" s="175"/>
      <c r="E37" s="175"/>
      <c r="F37" s="175"/>
      <c r="L37" s="231"/>
      <c r="M37" s="231"/>
      <c r="N37" s="231"/>
      <c r="O37" s="231"/>
      <c r="P37" s="231"/>
      <c r="Q37" s="231"/>
      <c r="R37" s="231"/>
      <c r="S37" s="231"/>
      <c r="T37" s="231"/>
    </row>
    <row r="38" spans="1:20" ht="15">
      <c r="A38" s="538" t="s">
        <v>304</v>
      </c>
      <c r="B38" s="538"/>
      <c r="C38" s="538"/>
      <c r="D38" s="538"/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8"/>
      <c r="R38" s="538"/>
      <c r="S38" s="538"/>
      <c r="T38" s="538"/>
    </row>
    <row r="39" spans="1:20" ht="4.5" customHeight="1">
      <c r="A39" s="158"/>
      <c r="B39" s="175"/>
      <c r="C39" s="175"/>
      <c r="D39" s="175"/>
      <c r="E39" s="175"/>
      <c r="F39" s="175"/>
      <c r="L39" s="231"/>
      <c r="M39" s="231"/>
      <c r="N39" s="231"/>
      <c r="O39" s="231"/>
      <c r="P39" s="231"/>
      <c r="Q39" s="231"/>
      <c r="R39" s="231"/>
      <c r="S39" s="231"/>
      <c r="T39" s="231"/>
    </row>
    <row r="40" spans="1:20">
      <c r="A40" s="527" t="s">
        <v>305</v>
      </c>
      <c r="B40" s="527"/>
      <c r="C40" s="527"/>
      <c r="D40" s="527"/>
      <c r="E40" s="527"/>
      <c r="F40" s="527"/>
      <c r="G40" s="527"/>
      <c r="H40" s="527"/>
      <c r="I40" s="527"/>
      <c r="J40" s="527"/>
      <c r="K40" s="527"/>
      <c r="L40" s="527"/>
      <c r="M40" s="537"/>
      <c r="N40" s="537"/>
      <c r="O40" s="537"/>
      <c r="P40" s="231"/>
      <c r="Q40" s="231"/>
      <c r="R40" s="231"/>
      <c r="S40" s="231"/>
      <c r="T40" s="231"/>
    </row>
    <row r="41" spans="1:20" ht="20.100000000000001" customHeight="1">
      <c r="A41" s="395" t="s">
        <v>306</v>
      </c>
      <c r="B41" s="508"/>
      <c r="C41" s="508"/>
      <c r="D41" s="508"/>
      <c r="E41" s="508"/>
      <c r="F41" s="508"/>
      <c r="G41" s="508"/>
      <c r="H41" s="508"/>
      <c r="I41" s="508"/>
      <c r="J41" s="508"/>
      <c r="K41" s="508"/>
      <c r="L41" s="396"/>
      <c r="M41" s="537"/>
      <c r="N41" s="537"/>
      <c r="O41" s="537"/>
      <c r="P41" s="231"/>
      <c r="Q41" s="231"/>
      <c r="R41" s="231"/>
      <c r="S41" s="231"/>
      <c r="T41" s="231"/>
    </row>
    <row r="42" spans="1:20">
      <c r="A42" s="527" t="s">
        <v>307</v>
      </c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37"/>
      <c r="N42" s="537"/>
      <c r="O42" s="537"/>
      <c r="P42" s="542"/>
      <c r="Q42" s="542"/>
      <c r="R42" s="231"/>
      <c r="S42" s="231"/>
      <c r="T42" s="231"/>
    </row>
    <row r="43" spans="1:20">
      <c r="A43" s="527" t="s">
        <v>308</v>
      </c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40" t="str">
        <f>IF(P42="GJ/rok",(M40+(M41*3.6))-M42,IF(P42="MWh/rok",((M40/3.6)+M41)-M42,"N/d"))</f>
        <v>N/d</v>
      </c>
      <c r="N43" s="540"/>
      <c r="O43" s="540"/>
      <c r="P43" s="541" t="str">
        <f>IF(P42="GJ/rok","GJ/rok",IF(P42="MWh/rok","MWh/rok",""))</f>
        <v/>
      </c>
      <c r="Q43" s="541"/>
      <c r="R43" s="231"/>
      <c r="S43" s="231"/>
      <c r="T43" s="231"/>
    </row>
    <row r="44" spans="1:20" ht="5.25" customHeight="1">
      <c r="A44" s="158"/>
      <c r="B44" s="175"/>
      <c r="C44" s="175"/>
      <c r="D44" s="175"/>
      <c r="E44" s="175"/>
      <c r="F44" s="175"/>
      <c r="L44" s="231"/>
      <c r="M44" s="231"/>
      <c r="N44" s="231"/>
      <c r="O44" s="231"/>
      <c r="P44" s="231"/>
      <c r="Q44" s="231"/>
      <c r="R44" s="231"/>
      <c r="S44" s="231"/>
      <c r="T44" s="231"/>
    </row>
    <row r="45" spans="1:20" ht="18">
      <c r="A45" s="545" t="s">
        <v>389</v>
      </c>
      <c r="B45" s="545"/>
      <c r="C45" s="545"/>
      <c r="D45" s="545"/>
      <c r="E45" s="545"/>
      <c r="F45" s="545"/>
      <c r="G45" s="545"/>
      <c r="H45" s="545"/>
      <c r="I45" s="545"/>
      <c r="J45" s="545"/>
      <c r="K45" s="545"/>
      <c r="L45" s="545"/>
      <c r="M45" s="545"/>
      <c r="N45" s="545"/>
      <c r="O45" s="545"/>
      <c r="P45" s="545"/>
      <c r="Q45" s="545"/>
      <c r="R45" s="545"/>
      <c r="S45" s="545"/>
      <c r="T45" s="545"/>
    </row>
    <row r="46" spans="1:20" ht="3" customHeight="1">
      <c r="L46" s="231"/>
      <c r="M46" s="231"/>
      <c r="N46" s="231"/>
      <c r="O46" s="231"/>
      <c r="P46" s="231"/>
      <c r="Q46" s="231"/>
      <c r="R46" s="231"/>
      <c r="S46" s="231"/>
      <c r="T46" s="231"/>
    </row>
    <row r="47" spans="1:20">
      <c r="A47" s="373" t="s">
        <v>186</v>
      </c>
      <c r="B47" s="373"/>
      <c r="C47" s="373"/>
      <c r="D47" s="373"/>
      <c r="E47" s="373"/>
      <c r="F47" s="373"/>
      <c r="G47" s="373"/>
      <c r="H47" s="373"/>
      <c r="I47" s="373" t="s">
        <v>187</v>
      </c>
      <c r="J47" s="373"/>
      <c r="K47" s="373"/>
      <c r="L47" s="373"/>
      <c r="M47" s="373"/>
      <c r="N47" s="373"/>
      <c r="O47" s="373" t="s">
        <v>126</v>
      </c>
      <c r="P47" s="373"/>
      <c r="Q47" s="373"/>
      <c r="R47" s="373"/>
      <c r="S47" s="373"/>
      <c r="T47" s="373"/>
    </row>
    <row r="48" spans="1:20" ht="24.95" customHeight="1">
      <c r="A48" s="546" t="s">
        <v>200</v>
      </c>
      <c r="B48" s="546"/>
      <c r="C48" s="546"/>
      <c r="D48" s="546"/>
      <c r="E48" s="546"/>
      <c r="F48" s="546"/>
      <c r="G48" s="546"/>
      <c r="H48" s="546"/>
      <c r="I48" s="428"/>
      <c r="J48" s="547"/>
      <c r="K48" s="547"/>
      <c r="L48" s="547"/>
      <c r="M48" s="547"/>
      <c r="N48" s="548"/>
      <c r="O48" s="427"/>
      <c r="P48" s="427"/>
      <c r="Q48" s="427"/>
      <c r="R48" s="427"/>
      <c r="S48" s="427"/>
      <c r="T48" s="427"/>
    </row>
    <row r="49" spans="1:20" ht="24.95" customHeight="1">
      <c r="A49" s="385" t="s">
        <v>231</v>
      </c>
      <c r="B49" s="420"/>
      <c r="C49" s="420"/>
      <c r="D49" s="420"/>
      <c r="E49" s="420"/>
      <c r="F49" s="420"/>
      <c r="G49" s="420"/>
      <c r="H49" s="386"/>
      <c r="I49" s="543"/>
      <c r="J49" s="543"/>
      <c r="K49" s="543"/>
      <c r="L49" s="543"/>
      <c r="M49" s="543"/>
      <c r="N49" s="543"/>
      <c r="O49" s="544"/>
      <c r="P49" s="544"/>
      <c r="Q49" s="544"/>
      <c r="R49" s="544"/>
      <c r="S49" s="544"/>
      <c r="T49" s="544"/>
    </row>
    <row r="50" spans="1:20">
      <c r="A50" s="539" t="s">
        <v>246</v>
      </c>
      <c r="B50" s="539"/>
      <c r="C50" s="539"/>
      <c r="D50" s="539"/>
      <c r="E50" s="539"/>
      <c r="F50" s="539"/>
      <c r="G50" s="539"/>
      <c r="H50" s="539"/>
      <c r="I50" s="399" t="str">
        <f>IF(M40&lt;&gt;"",M40,"")</f>
        <v/>
      </c>
      <c r="J50" s="399"/>
      <c r="K50" s="399"/>
      <c r="L50" s="399"/>
      <c r="M50" s="399"/>
      <c r="N50" s="399"/>
      <c r="O50" s="399" t="str">
        <f>IF(O49&lt;&gt;"",M43,"")</f>
        <v/>
      </c>
      <c r="P50" s="399"/>
      <c r="Q50" s="399"/>
      <c r="R50" s="399"/>
      <c r="S50" s="399"/>
      <c r="T50" s="399"/>
    </row>
    <row r="51" spans="1:20" ht="14.25" customHeight="1">
      <c r="A51" s="527" t="s">
        <v>247</v>
      </c>
      <c r="B51" s="527"/>
      <c r="C51" s="527"/>
      <c r="D51" s="527"/>
      <c r="E51" s="527"/>
      <c r="F51" s="527"/>
      <c r="G51" s="527"/>
      <c r="H51" s="527"/>
      <c r="I51" s="403" t="str">
        <f>IF(I49&lt;&gt;"",VLOOKUP(H127,KOBIZE!T7:X57,5),"N/d")</f>
        <v>N/d</v>
      </c>
      <c r="J51" s="403"/>
      <c r="K51" s="403"/>
      <c r="L51" s="403"/>
      <c r="M51" s="403"/>
      <c r="N51" s="403"/>
      <c r="O51" s="403" t="str">
        <f>IF(O49&lt;&gt;"",VLOOKUP(J127,KOBIZE!T7:X57,5),"N/d")</f>
        <v>N/d</v>
      </c>
      <c r="P51" s="403"/>
      <c r="Q51" s="403"/>
      <c r="R51" s="403"/>
      <c r="S51" s="403"/>
      <c r="T51" s="403"/>
    </row>
    <row r="52" spans="1:20" ht="5.25" customHeight="1">
      <c r="L52" s="231"/>
      <c r="M52" s="231"/>
      <c r="N52" s="231"/>
      <c r="O52" s="231"/>
      <c r="P52" s="231"/>
      <c r="Q52" s="231"/>
      <c r="R52" s="231"/>
      <c r="S52" s="231"/>
      <c r="T52" s="231"/>
    </row>
    <row r="53" spans="1:20">
      <c r="A53" s="384" t="s">
        <v>123</v>
      </c>
      <c r="B53" s="384"/>
      <c r="C53" s="384"/>
      <c r="D53" s="384"/>
      <c r="E53" s="384"/>
      <c r="F53" s="384"/>
      <c r="G53" s="384"/>
      <c r="H53" s="384"/>
      <c r="I53" s="552" t="s">
        <v>124</v>
      </c>
      <c r="J53" s="552"/>
      <c r="K53" s="552"/>
      <c r="L53" s="552"/>
      <c r="M53" s="552"/>
      <c r="N53" s="552"/>
      <c r="O53" s="552" t="s">
        <v>125</v>
      </c>
      <c r="P53" s="552"/>
      <c r="Q53" s="552"/>
      <c r="R53" s="552"/>
      <c r="S53" s="552"/>
      <c r="T53" s="552"/>
    </row>
    <row r="54" spans="1:20">
      <c r="A54" s="384"/>
      <c r="B54" s="384"/>
      <c r="C54" s="384"/>
      <c r="D54" s="384"/>
      <c r="E54" s="384"/>
      <c r="F54" s="384"/>
      <c r="G54" s="384"/>
      <c r="H54" s="384"/>
      <c r="I54" s="553" t="s">
        <v>132</v>
      </c>
      <c r="J54" s="554"/>
      <c r="K54" s="555"/>
      <c r="L54" s="556" t="s">
        <v>126</v>
      </c>
      <c r="M54" s="557"/>
      <c r="N54" s="558"/>
      <c r="O54" s="559" t="s">
        <v>127</v>
      </c>
      <c r="P54" s="559"/>
      <c r="Q54" s="559"/>
      <c r="R54" s="559" t="s">
        <v>128</v>
      </c>
      <c r="S54" s="559"/>
      <c r="T54" s="559"/>
    </row>
    <row r="55" spans="1:20">
      <c r="A55" s="549">
        <v>1</v>
      </c>
      <c r="B55" s="549"/>
      <c r="C55" s="549"/>
      <c r="D55" s="549"/>
      <c r="E55" s="549"/>
      <c r="F55" s="549"/>
      <c r="G55" s="549"/>
      <c r="H55" s="549"/>
      <c r="I55" s="550">
        <v>2</v>
      </c>
      <c r="J55" s="550"/>
      <c r="K55" s="550"/>
      <c r="L55" s="550">
        <v>3</v>
      </c>
      <c r="M55" s="550"/>
      <c r="N55" s="550"/>
      <c r="O55" s="550">
        <v>4</v>
      </c>
      <c r="P55" s="550"/>
      <c r="Q55" s="550"/>
      <c r="R55" s="550">
        <v>5</v>
      </c>
      <c r="S55" s="550"/>
      <c r="T55" s="550"/>
    </row>
    <row r="56" spans="1:20">
      <c r="A56" s="411" t="s">
        <v>309</v>
      </c>
      <c r="B56" s="411"/>
      <c r="C56" s="411"/>
      <c r="D56" s="411"/>
      <c r="E56" s="411"/>
      <c r="F56" s="411"/>
      <c r="G56" s="411"/>
      <c r="H56" s="411"/>
      <c r="I56" s="453" t="str">
        <f>IF(I50&lt;&gt;"",I50*I51,"")</f>
        <v/>
      </c>
      <c r="J56" s="453"/>
      <c r="K56" s="453"/>
      <c r="L56" s="453" t="str">
        <f>IF(O50&lt;&gt;"",O50*O51,"")</f>
        <v/>
      </c>
      <c r="M56" s="453"/>
      <c r="N56" s="453"/>
      <c r="O56" s="551" t="str">
        <f>IF(I56&lt;&gt;"",I56-L56,"N/d")</f>
        <v>N/d</v>
      </c>
      <c r="P56" s="551"/>
      <c r="Q56" s="551"/>
      <c r="R56" s="399" t="str">
        <f>IF(I56&lt;&gt;"",(O56/I56)*100,"N/d")</f>
        <v>N/d</v>
      </c>
      <c r="S56" s="399"/>
      <c r="T56" s="399"/>
    </row>
    <row r="57" spans="1:20" ht="15">
      <c r="A57" s="174"/>
      <c r="B57" s="175"/>
      <c r="C57" s="175"/>
      <c r="D57" s="175"/>
      <c r="E57" s="175"/>
      <c r="F57" s="175"/>
      <c r="L57" s="231"/>
      <c r="M57" s="231"/>
      <c r="N57" s="231"/>
      <c r="O57" s="231"/>
      <c r="P57" s="231"/>
      <c r="Q57" s="231"/>
      <c r="R57" s="231"/>
      <c r="S57" s="231"/>
      <c r="T57" s="231"/>
    </row>
    <row r="58" spans="1:20">
      <c r="M58" s="17"/>
      <c r="N58" s="131"/>
      <c r="O58" s="131"/>
      <c r="P58" s="131"/>
      <c r="Q58" s="131"/>
      <c r="R58" s="131"/>
      <c r="S58" s="131"/>
      <c r="T58" s="131"/>
    </row>
    <row r="59" spans="1:20" ht="7.5" customHeight="1">
      <c r="M59" s="17"/>
      <c r="N59" s="131"/>
      <c r="O59" s="131"/>
      <c r="P59" s="131"/>
      <c r="Q59" s="131"/>
      <c r="R59" s="131"/>
      <c r="S59" s="131"/>
      <c r="T59" s="131"/>
    </row>
    <row r="60" spans="1:20" ht="7.5" customHeight="1">
      <c r="M60" s="17"/>
      <c r="N60" s="131"/>
      <c r="O60" s="131"/>
      <c r="P60" s="131"/>
      <c r="Q60" s="131"/>
      <c r="R60" s="131"/>
      <c r="S60" s="131"/>
      <c r="T60" s="131"/>
    </row>
    <row r="61" spans="1:20" ht="9" customHeight="1">
      <c r="I61" s="2"/>
      <c r="J61" s="2"/>
      <c r="K61" s="2"/>
      <c r="L61" s="2"/>
      <c r="M61" s="17"/>
      <c r="N61" s="131"/>
      <c r="O61" s="131"/>
      <c r="P61" s="131"/>
      <c r="Q61" s="131"/>
      <c r="R61" s="131"/>
      <c r="S61" s="131"/>
      <c r="T61" s="131"/>
    </row>
    <row r="62" spans="1:20" ht="7.5" customHeight="1">
      <c r="I62" s="2"/>
      <c r="J62" s="2"/>
      <c r="K62" s="2"/>
      <c r="L62" s="2"/>
      <c r="M62" s="176"/>
      <c r="N62" s="176"/>
      <c r="O62" s="193"/>
      <c r="P62" s="193"/>
      <c r="Q62" s="193"/>
      <c r="R62" s="193"/>
      <c r="S62" s="193"/>
      <c r="T62" s="131"/>
    </row>
    <row r="63" spans="1:20" ht="15">
      <c r="A63" s="175"/>
      <c r="B63" s="500">
        <f ca="1">TODAY()</f>
        <v>44550</v>
      </c>
      <c r="C63" s="500"/>
      <c r="D63" s="500"/>
      <c r="E63" s="500"/>
      <c r="F63" s="192"/>
      <c r="G63" s="192"/>
      <c r="I63" s="2"/>
      <c r="J63" s="2"/>
      <c r="K63" s="2"/>
      <c r="L63" s="2"/>
      <c r="M63" s="177" t="s">
        <v>209</v>
      </c>
      <c r="N63" s="17"/>
      <c r="O63" s="17"/>
      <c r="P63" s="17"/>
      <c r="Q63" s="17"/>
      <c r="R63" s="17"/>
      <c r="S63" s="17"/>
      <c r="T63" s="17"/>
    </row>
    <row r="64" spans="1:20" ht="15">
      <c r="B64" s="501" t="s">
        <v>223</v>
      </c>
      <c r="C64" s="501"/>
      <c r="D64" s="501"/>
      <c r="E64" s="501"/>
      <c r="F64" s="178"/>
      <c r="I64" s="128"/>
      <c r="J64" s="2"/>
      <c r="K64" s="2"/>
      <c r="L64" s="2"/>
      <c r="M64" s="179" t="s">
        <v>210</v>
      </c>
      <c r="N64" s="17"/>
      <c r="O64" s="17"/>
      <c r="P64" s="17"/>
      <c r="Q64" s="17"/>
      <c r="R64" s="17"/>
      <c r="S64" s="17"/>
      <c r="T64" s="17"/>
    </row>
    <row r="65" spans="1:20" ht="15">
      <c r="A65" s="180" t="s">
        <v>248</v>
      </c>
      <c r="B65" s="150"/>
      <c r="C65" s="150"/>
      <c r="D65" s="150"/>
      <c r="E65" s="150"/>
      <c r="F65" s="150"/>
      <c r="I65" s="2"/>
      <c r="J65" s="2"/>
      <c r="K65" s="2"/>
      <c r="L65" s="2"/>
      <c r="M65" s="129"/>
      <c r="N65" s="2"/>
    </row>
    <row r="66" spans="1:20" ht="29.25" customHeight="1">
      <c r="A66" s="404" t="s">
        <v>367</v>
      </c>
      <c r="B66" s="404"/>
      <c r="C66" s="404"/>
      <c r="D66" s="404"/>
      <c r="E66" s="404"/>
      <c r="F66" s="404"/>
      <c r="G66" s="404"/>
      <c r="H66" s="404"/>
      <c r="I66" s="404"/>
      <c r="J66" s="404"/>
      <c r="K66" s="404"/>
      <c r="L66" s="404"/>
      <c r="M66" s="404"/>
      <c r="N66" s="404"/>
      <c r="O66" s="404"/>
      <c r="P66" s="404"/>
      <c r="Q66" s="404"/>
      <c r="R66" s="404"/>
      <c r="S66" s="404"/>
      <c r="T66" s="404"/>
    </row>
    <row r="67" spans="1:20" ht="16.5" customHeight="1">
      <c r="A67" s="194"/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</row>
    <row r="92" spans="21:27" hidden="1"/>
    <row r="93" spans="21:27" hidden="1"/>
    <row r="94" spans="21:27" ht="23.25" hidden="1" customHeight="1">
      <c r="U94" s="127" t="s">
        <v>316</v>
      </c>
      <c r="V94" s="524" t="s">
        <v>317</v>
      </c>
      <c r="W94" s="524"/>
      <c r="X94" s="524"/>
      <c r="Y94" s="127">
        <v>0.81200000000000006</v>
      </c>
      <c r="Z94" s="127" t="s">
        <v>318</v>
      </c>
      <c r="AA94" s="71"/>
    </row>
    <row r="95" spans="21:27" ht="30" hidden="1" customHeight="1">
      <c r="U95" s="127" t="s">
        <v>319</v>
      </c>
      <c r="V95" s="524" t="s">
        <v>320</v>
      </c>
      <c r="W95" s="524"/>
      <c r="X95" s="524"/>
      <c r="Y95" s="127">
        <v>0.33800000000000002</v>
      </c>
      <c r="Z95" s="127" t="s">
        <v>318</v>
      </c>
      <c r="AA95" s="71"/>
    </row>
    <row r="96" spans="21:27" hidden="1">
      <c r="U96" s="71"/>
      <c r="V96" s="71"/>
      <c r="W96" s="71"/>
      <c r="X96" s="71"/>
      <c r="Y96" s="71"/>
      <c r="Z96" s="71"/>
      <c r="AA96" s="71"/>
    </row>
    <row r="97" spans="1:23" hidden="1"/>
    <row r="98" spans="1:23" hidden="1"/>
    <row r="99" spans="1:23" hidden="1"/>
    <row r="100" spans="1:23" hidden="1"/>
    <row r="101" spans="1:23" hidden="1"/>
    <row r="102" spans="1:23" hidden="1"/>
    <row r="103" spans="1:23" hidden="1">
      <c r="A103" s="17"/>
      <c r="B103" s="17"/>
      <c r="C103" s="17"/>
      <c r="D103" s="17"/>
      <c r="E103" s="17"/>
      <c r="F103" s="17"/>
      <c r="G103" s="17"/>
      <c r="H103" s="336" t="s">
        <v>135</v>
      </c>
      <c r="I103" s="336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1:23" ht="15" hidden="1">
      <c r="A104" s="17"/>
      <c r="B104" s="17"/>
      <c r="C104" s="17"/>
      <c r="D104" s="17"/>
      <c r="E104" s="17"/>
      <c r="F104" s="17"/>
      <c r="G104" s="17"/>
      <c r="H104" s="20" t="s">
        <v>136</v>
      </c>
      <c r="I104" s="20" t="s">
        <v>137</v>
      </c>
      <c r="J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 t="s">
        <v>252</v>
      </c>
      <c r="V104" s="17" t="s">
        <v>252</v>
      </c>
      <c r="W104" s="17" t="s">
        <v>253</v>
      </c>
    </row>
    <row r="105" spans="1:23" ht="16.5" hidden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" t="s">
        <v>86</v>
      </c>
      <c r="V105" s="1" t="s">
        <v>258</v>
      </c>
      <c r="W105" s="1" t="s">
        <v>82</v>
      </c>
    </row>
    <row r="106" spans="1:23" hidden="1">
      <c r="A106" s="6">
        <v>1</v>
      </c>
      <c r="B106" s="7" t="s">
        <v>134</v>
      </c>
      <c r="D106" s="17"/>
      <c r="E106" s="73" t="s">
        <v>254</v>
      </c>
      <c r="F106" s="17"/>
      <c r="G106" s="17"/>
      <c r="H106" s="17" t="s">
        <v>138</v>
      </c>
      <c r="I106" s="17" t="s">
        <v>138</v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>
        <v>100</v>
      </c>
      <c r="T106" s="17" t="s">
        <v>139</v>
      </c>
      <c r="U106" s="17">
        <v>0</v>
      </c>
      <c r="V106" s="17">
        <v>0</v>
      </c>
      <c r="W106" s="17">
        <v>0</v>
      </c>
    </row>
    <row r="107" spans="1:23" hidden="1">
      <c r="A107" s="6">
        <v>2</v>
      </c>
      <c r="B107" s="7" t="s">
        <v>163</v>
      </c>
      <c r="D107" s="17"/>
      <c r="E107" s="156">
        <v>860</v>
      </c>
      <c r="F107" s="17"/>
      <c r="G107" s="17"/>
      <c r="H107" s="21" t="s">
        <v>114</v>
      </c>
      <c r="I107" s="19">
        <v>1</v>
      </c>
      <c r="J107" s="17">
        <v>0</v>
      </c>
      <c r="K107" s="18" t="s">
        <v>113</v>
      </c>
      <c r="L107" s="17"/>
      <c r="M107" s="18" t="s">
        <v>112</v>
      </c>
      <c r="N107" s="17"/>
      <c r="O107" s="21" t="s">
        <v>56</v>
      </c>
      <c r="P107" s="17"/>
      <c r="Q107" s="17">
        <v>1</v>
      </c>
      <c r="R107" s="17"/>
      <c r="S107" s="22"/>
      <c r="T107" s="21"/>
      <c r="U107" s="23"/>
      <c r="V107" s="23"/>
      <c r="W107" s="23"/>
    </row>
    <row r="108" spans="1:23" hidden="1">
      <c r="A108" s="6">
        <v>3</v>
      </c>
      <c r="B108" s="7" t="s">
        <v>18</v>
      </c>
      <c r="D108" s="17"/>
      <c r="E108" s="17"/>
      <c r="F108" s="17"/>
      <c r="G108" s="17"/>
      <c r="H108" s="21" t="s">
        <v>111</v>
      </c>
      <c r="I108" s="19">
        <v>2</v>
      </c>
      <c r="J108" s="17"/>
      <c r="K108" s="18" t="s">
        <v>110</v>
      </c>
      <c r="L108" s="17"/>
      <c r="M108" s="18" t="s">
        <v>109</v>
      </c>
      <c r="N108" s="17"/>
      <c r="O108" s="21" t="s">
        <v>55</v>
      </c>
      <c r="P108" s="17"/>
      <c r="Q108" s="17">
        <v>2</v>
      </c>
      <c r="R108" s="17"/>
      <c r="S108" s="22"/>
      <c r="T108" s="21"/>
      <c r="U108" s="23"/>
      <c r="V108" s="23"/>
      <c r="W108" s="23"/>
    </row>
    <row r="109" spans="1:23" hidden="1">
      <c r="A109" s="6">
        <v>4</v>
      </c>
      <c r="B109" s="7" t="s">
        <v>164</v>
      </c>
      <c r="D109" s="17"/>
      <c r="E109" s="17"/>
      <c r="F109" s="17"/>
      <c r="G109" s="17"/>
      <c r="H109" s="21" t="s">
        <v>108</v>
      </c>
      <c r="I109" s="19">
        <v>3</v>
      </c>
      <c r="J109" s="17"/>
      <c r="K109" s="18" t="s">
        <v>107</v>
      </c>
      <c r="L109" s="17"/>
      <c r="M109" s="18" t="s">
        <v>106</v>
      </c>
      <c r="N109" s="17"/>
      <c r="O109" s="21" t="s">
        <v>88</v>
      </c>
      <c r="P109" s="17"/>
      <c r="Q109" s="17">
        <v>1</v>
      </c>
      <c r="R109" s="17"/>
      <c r="S109" s="22"/>
      <c r="T109" s="21"/>
      <c r="U109" s="23"/>
      <c r="V109" s="23"/>
      <c r="W109" s="23"/>
    </row>
    <row r="110" spans="1:23" hidden="1">
      <c r="A110" s="6">
        <v>5</v>
      </c>
      <c r="B110" s="7" t="s">
        <v>168</v>
      </c>
      <c r="D110" s="17"/>
      <c r="E110" s="17"/>
      <c r="F110" s="17"/>
      <c r="G110" s="17"/>
      <c r="H110" s="21" t="s">
        <v>105</v>
      </c>
      <c r="I110" s="19">
        <v>4</v>
      </c>
      <c r="J110" s="17"/>
      <c r="K110" s="18" t="s">
        <v>104</v>
      </c>
      <c r="L110" s="17"/>
      <c r="M110" s="18" t="s">
        <v>103</v>
      </c>
      <c r="N110" s="17"/>
      <c r="O110" s="21" t="s">
        <v>87</v>
      </c>
      <c r="P110" s="17"/>
      <c r="Q110" s="17">
        <v>2</v>
      </c>
      <c r="R110" s="17"/>
      <c r="S110" s="22"/>
      <c r="T110" s="21"/>
      <c r="U110" s="23"/>
      <c r="V110" s="23"/>
      <c r="W110" s="23"/>
    </row>
    <row r="111" spans="1:23" hidden="1">
      <c r="A111" s="6">
        <v>6</v>
      </c>
      <c r="B111" s="7" t="s">
        <v>169</v>
      </c>
      <c r="D111" s="17"/>
      <c r="E111" s="17"/>
      <c r="F111" s="17"/>
      <c r="G111" s="17"/>
      <c r="H111" s="21" t="s">
        <v>146</v>
      </c>
      <c r="I111" s="19">
        <v>5</v>
      </c>
      <c r="J111" s="17"/>
      <c r="K111" s="18" t="s">
        <v>249</v>
      </c>
      <c r="L111" s="17"/>
      <c r="M111" s="18" t="s">
        <v>102</v>
      </c>
      <c r="N111" s="17"/>
      <c r="O111" s="21" t="s">
        <v>85</v>
      </c>
      <c r="P111" s="17"/>
      <c r="Q111" s="17">
        <v>3</v>
      </c>
      <c r="R111" s="17"/>
      <c r="S111" s="22"/>
      <c r="T111" s="21"/>
      <c r="U111" s="23"/>
      <c r="V111" s="23"/>
      <c r="W111" s="23"/>
    </row>
    <row r="112" spans="1:23" hidden="1">
      <c r="A112" s="6">
        <v>7</v>
      </c>
      <c r="B112" s="7" t="s">
        <v>165</v>
      </c>
      <c r="D112" s="17"/>
      <c r="E112" s="17"/>
      <c r="F112" s="17"/>
      <c r="G112" s="17"/>
      <c r="H112" s="21" t="s">
        <v>147</v>
      </c>
      <c r="I112" s="19">
        <v>6</v>
      </c>
      <c r="J112" s="17"/>
      <c r="K112" s="18" t="s">
        <v>152</v>
      </c>
      <c r="L112" s="17"/>
      <c r="M112" s="18" t="s">
        <v>101</v>
      </c>
      <c r="N112" s="17"/>
      <c r="O112" s="21" t="s">
        <v>84</v>
      </c>
      <c r="P112" s="17"/>
      <c r="Q112" s="17">
        <v>1</v>
      </c>
      <c r="R112" s="17"/>
      <c r="S112" s="22"/>
      <c r="T112" s="21"/>
      <c r="U112" s="23"/>
      <c r="V112" s="23"/>
      <c r="W112" s="23"/>
    </row>
    <row r="113" spans="1:23" hidden="1">
      <c r="A113" s="17"/>
      <c r="B113" s="17"/>
      <c r="C113" s="17"/>
      <c r="D113" s="17"/>
      <c r="E113" s="17"/>
      <c r="F113" s="17"/>
      <c r="G113" s="17"/>
      <c r="H113" s="21" t="s">
        <v>148</v>
      </c>
      <c r="I113" s="19">
        <v>7</v>
      </c>
      <c r="J113" s="17"/>
      <c r="K113" s="18" t="s">
        <v>153</v>
      </c>
      <c r="L113" s="17"/>
      <c r="M113" s="18" t="s">
        <v>100</v>
      </c>
      <c r="N113" s="17"/>
      <c r="O113" s="21" t="s">
        <v>83</v>
      </c>
      <c r="P113" s="17"/>
      <c r="Q113" s="17">
        <v>2</v>
      </c>
      <c r="R113" s="17"/>
      <c r="S113" s="22"/>
      <c r="T113" s="21"/>
      <c r="U113" s="23"/>
      <c r="V113" s="23"/>
      <c r="W113" s="23"/>
    </row>
    <row r="114" spans="1:23" hidden="1">
      <c r="A114" s="17"/>
      <c r="B114" s="17"/>
      <c r="C114" s="17"/>
      <c r="D114" s="17"/>
      <c r="E114" s="17"/>
      <c r="F114" s="17"/>
      <c r="G114" s="17"/>
      <c r="H114" s="21" t="s">
        <v>149</v>
      </c>
      <c r="I114" s="19">
        <v>8</v>
      </c>
      <c r="J114" s="17"/>
      <c r="K114" s="18" t="s">
        <v>154</v>
      </c>
      <c r="L114" s="17"/>
      <c r="M114" s="18" t="s">
        <v>99</v>
      </c>
      <c r="N114" s="17"/>
      <c r="O114" s="21" t="s">
        <v>81</v>
      </c>
      <c r="P114" s="17"/>
      <c r="Q114" s="17">
        <v>3</v>
      </c>
      <c r="R114" s="17"/>
      <c r="S114" s="22"/>
      <c r="T114" s="21"/>
      <c r="U114" s="23"/>
      <c r="V114" s="23"/>
      <c r="W114" s="23"/>
    </row>
    <row r="115" spans="1:23" hidden="1">
      <c r="A115" s="17"/>
      <c r="B115" s="17"/>
      <c r="C115" s="17"/>
      <c r="D115" s="17"/>
      <c r="E115" s="17"/>
      <c r="F115" s="17"/>
      <c r="G115" s="17"/>
      <c r="H115" s="21" t="s">
        <v>98</v>
      </c>
      <c r="I115" s="19">
        <v>9</v>
      </c>
      <c r="J115" s="17"/>
      <c r="K115" s="18" t="s">
        <v>155</v>
      </c>
      <c r="L115" s="17"/>
      <c r="M115" s="18" t="s">
        <v>97</v>
      </c>
      <c r="N115" s="17"/>
      <c r="O115" s="21" t="s">
        <v>80</v>
      </c>
      <c r="P115" s="17"/>
      <c r="Q115" s="17">
        <v>4</v>
      </c>
      <c r="R115" s="17"/>
      <c r="S115" s="22"/>
      <c r="T115" s="21"/>
      <c r="U115" s="23"/>
      <c r="V115" s="23"/>
      <c r="W115" s="23"/>
    </row>
    <row r="116" spans="1:23" hidden="1">
      <c r="A116" s="17"/>
      <c r="B116" s="17"/>
      <c r="C116" s="17"/>
      <c r="D116" s="17"/>
      <c r="E116" s="17"/>
      <c r="F116" s="17"/>
      <c r="G116" s="17"/>
      <c r="H116" s="21" t="s">
        <v>311</v>
      </c>
      <c r="I116" s="19">
        <v>10</v>
      </c>
      <c r="J116" s="17"/>
      <c r="K116" s="18" t="s">
        <v>310</v>
      </c>
      <c r="L116" s="17"/>
      <c r="M116" s="18" t="s">
        <v>96</v>
      </c>
      <c r="N116" s="17"/>
      <c r="O116" s="21"/>
      <c r="P116" s="17"/>
      <c r="Q116" s="17"/>
      <c r="R116" s="17"/>
      <c r="S116" s="22"/>
      <c r="T116" s="21"/>
      <c r="U116" s="23"/>
      <c r="V116" s="23"/>
      <c r="W116" s="23"/>
    </row>
    <row r="117" spans="1:23" hidden="1">
      <c r="A117" s="17"/>
      <c r="B117" s="17"/>
      <c r="C117" s="17"/>
      <c r="D117" s="17"/>
      <c r="E117" s="17"/>
      <c r="F117" s="17"/>
      <c r="G117" s="17"/>
      <c r="H117" s="21" t="s">
        <v>150</v>
      </c>
      <c r="I117" s="19">
        <v>11</v>
      </c>
      <c r="J117" s="17"/>
      <c r="K117" s="18" t="s">
        <v>313</v>
      </c>
      <c r="L117" s="17"/>
      <c r="M117" s="18" t="s">
        <v>95</v>
      </c>
      <c r="N117" s="17"/>
      <c r="O117" s="21" t="s">
        <v>157</v>
      </c>
      <c r="P117" s="17"/>
      <c r="Q117" s="17">
        <v>4</v>
      </c>
      <c r="R117" s="17"/>
      <c r="S117" s="22"/>
      <c r="T117" s="21"/>
      <c r="U117" s="23"/>
      <c r="V117" s="23"/>
      <c r="W117" s="23"/>
    </row>
    <row r="118" spans="1:23" hidden="1">
      <c r="A118" s="17"/>
      <c r="B118" s="17"/>
      <c r="C118" s="17"/>
      <c r="D118" s="17"/>
      <c r="E118" s="17"/>
      <c r="F118" s="17"/>
      <c r="G118" s="17"/>
      <c r="H118" s="21" t="s">
        <v>151</v>
      </c>
      <c r="I118" s="19">
        <v>12</v>
      </c>
      <c r="J118" s="17"/>
      <c r="K118" s="18" t="s">
        <v>314</v>
      </c>
      <c r="L118" s="17"/>
      <c r="M118" s="18" t="s">
        <v>93</v>
      </c>
      <c r="N118" s="17"/>
      <c r="O118" s="21" t="s">
        <v>79</v>
      </c>
      <c r="P118" s="17"/>
      <c r="Q118" s="17">
        <v>5</v>
      </c>
      <c r="R118" s="17"/>
      <c r="S118" s="22"/>
      <c r="T118" s="21"/>
      <c r="U118" s="23"/>
      <c r="V118" s="23"/>
      <c r="W118" s="23"/>
    </row>
    <row r="119" spans="1:23" hidden="1">
      <c r="A119" s="17"/>
      <c r="B119" s="17"/>
      <c r="C119" s="17"/>
      <c r="D119" s="17"/>
      <c r="E119" s="17"/>
      <c r="F119" s="17"/>
      <c r="G119" s="17"/>
      <c r="H119" s="21" t="s">
        <v>94</v>
      </c>
      <c r="I119" s="19">
        <v>13</v>
      </c>
      <c r="J119" s="17"/>
      <c r="K119" s="18" t="s">
        <v>315</v>
      </c>
      <c r="L119" s="17"/>
      <c r="M119" s="18" t="s">
        <v>91</v>
      </c>
      <c r="N119" s="17"/>
      <c r="O119" s="21" t="s">
        <v>78</v>
      </c>
      <c r="P119" s="17"/>
      <c r="Q119" s="17">
        <v>6</v>
      </c>
      <c r="R119" s="17"/>
      <c r="S119" s="22"/>
      <c r="T119" s="21"/>
      <c r="U119" s="23"/>
      <c r="V119" s="23"/>
      <c r="W119" s="23"/>
    </row>
    <row r="120" spans="1:23" hidden="1">
      <c r="A120" s="17"/>
      <c r="B120" s="17"/>
      <c r="C120" s="17"/>
      <c r="D120" s="17"/>
      <c r="E120" s="17"/>
      <c r="F120" s="17"/>
      <c r="G120" s="17"/>
      <c r="H120" s="21"/>
      <c r="I120" s="19">
        <v>14</v>
      </c>
      <c r="J120" s="17"/>
      <c r="K120" s="18" t="s">
        <v>349</v>
      </c>
      <c r="L120" s="17"/>
      <c r="M120" s="18" t="s">
        <v>89</v>
      </c>
      <c r="N120" s="17"/>
      <c r="O120" s="21"/>
      <c r="P120" s="17"/>
      <c r="Q120" s="17"/>
      <c r="R120" s="17"/>
      <c r="S120" s="22"/>
      <c r="T120" s="21"/>
      <c r="U120" s="23"/>
      <c r="V120" s="23"/>
      <c r="W120" s="23"/>
    </row>
    <row r="121" spans="1:23" ht="15" hidden="1">
      <c r="A121" s="17"/>
      <c r="B121" s="20"/>
      <c r="C121" s="17"/>
      <c r="D121" s="20"/>
      <c r="E121" s="17"/>
      <c r="F121" s="17"/>
      <c r="G121" s="17"/>
      <c r="H121" s="21"/>
      <c r="I121" s="19">
        <v>15</v>
      </c>
      <c r="J121" s="17"/>
      <c r="K121" s="18" t="s">
        <v>350</v>
      </c>
      <c r="L121" s="17"/>
      <c r="M121" s="18" t="s">
        <v>312</v>
      </c>
      <c r="N121" s="17"/>
      <c r="O121" s="21"/>
      <c r="P121" s="17"/>
      <c r="Q121" s="17"/>
      <c r="R121" s="17"/>
      <c r="S121" s="22"/>
      <c r="T121" s="21"/>
      <c r="U121" s="23"/>
      <c r="V121" s="23"/>
      <c r="W121" s="23"/>
    </row>
    <row r="122" spans="1:23" hidden="1">
      <c r="A122" s="17"/>
      <c r="B122" s="17"/>
      <c r="C122" s="17"/>
      <c r="D122" s="17"/>
      <c r="E122" s="17"/>
      <c r="F122" s="17"/>
      <c r="G122" s="17"/>
      <c r="H122" s="21" t="s">
        <v>92</v>
      </c>
      <c r="I122" s="19">
        <v>16</v>
      </c>
      <c r="J122" s="17"/>
      <c r="K122" s="18" t="s">
        <v>345</v>
      </c>
      <c r="L122" s="17"/>
      <c r="M122" s="18" t="s">
        <v>347</v>
      </c>
      <c r="N122" s="17"/>
      <c r="O122" s="21" t="s">
        <v>156</v>
      </c>
      <c r="P122" s="17"/>
      <c r="Q122" s="17">
        <v>7</v>
      </c>
      <c r="R122" s="17"/>
      <c r="S122" s="22"/>
      <c r="T122" s="21"/>
      <c r="U122" s="23"/>
      <c r="V122" s="23"/>
      <c r="W122" s="23"/>
    </row>
    <row r="123" spans="1:23" hidden="1">
      <c r="A123" s="17"/>
      <c r="B123" s="17"/>
      <c r="C123" s="17"/>
      <c r="D123" s="17"/>
      <c r="E123" s="17"/>
      <c r="F123" s="17"/>
      <c r="G123" s="17"/>
      <c r="H123" s="21" t="s">
        <v>90</v>
      </c>
      <c r="I123" s="19">
        <v>17</v>
      </c>
      <c r="J123" s="17"/>
      <c r="K123" s="18" t="s">
        <v>346</v>
      </c>
      <c r="L123" s="17"/>
      <c r="M123" s="18" t="s">
        <v>348</v>
      </c>
      <c r="N123" s="17"/>
      <c r="O123" s="21" t="s">
        <v>74</v>
      </c>
      <c r="P123" s="17"/>
      <c r="Q123" s="17">
        <v>8</v>
      </c>
      <c r="R123" s="17"/>
      <c r="S123" s="22"/>
      <c r="T123" s="21"/>
      <c r="U123" s="23"/>
      <c r="V123" s="23"/>
      <c r="W123" s="23"/>
    </row>
    <row r="124" spans="1:23" hidden="1">
      <c r="A124" s="17"/>
      <c r="B124" s="17"/>
      <c r="C124" s="17"/>
      <c r="D124" s="17"/>
      <c r="E124" s="17"/>
      <c r="F124" s="17"/>
      <c r="G124" s="17"/>
      <c r="H124" s="154"/>
      <c r="I124" s="210"/>
      <c r="J124" s="17"/>
      <c r="K124" s="211"/>
      <c r="L124" s="17"/>
      <c r="M124" s="211"/>
      <c r="N124" s="17"/>
      <c r="O124" s="21" t="s">
        <v>71</v>
      </c>
      <c r="P124" s="17"/>
      <c r="Q124" s="17">
        <v>9</v>
      </c>
      <c r="R124" s="17"/>
      <c r="S124" s="22"/>
      <c r="T124" s="21"/>
      <c r="U124" s="23"/>
      <c r="V124" s="23"/>
      <c r="W124" s="23"/>
    </row>
    <row r="125" spans="1:23" ht="15" hidden="1">
      <c r="A125" s="17"/>
      <c r="B125" s="17"/>
      <c r="C125" s="17"/>
      <c r="D125" s="17"/>
      <c r="E125" s="17"/>
      <c r="F125" s="17"/>
      <c r="G125" s="17"/>
      <c r="H125" s="20" t="s">
        <v>50</v>
      </c>
      <c r="I125" s="17">
        <v>100</v>
      </c>
      <c r="J125" s="151" t="s">
        <v>51</v>
      </c>
      <c r="K125" s="211"/>
      <c r="L125" s="17"/>
      <c r="M125" s="211"/>
      <c r="N125" s="17"/>
      <c r="O125" s="21" t="s">
        <v>68</v>
      </c>
      <c r="P125" s="17"/>
      <c r="Q125" s="17">
        <v>10</v>
      </c>
      <c r="R125" s="17"/>
      <c r="S125" s="22"/>
      <c r="T125" s="21"/>
      <c r="U125" s="23"/>
      <c r="V125" s="23"/>
      <c r="W125" s="23"/>
    </row>
    <row r="126" spans="1:23" hidden="1">
      <c r="A126" s="17"/>
      <c r="B126" s="17" t="str">
        <f t="shared" ref="B126:B137" si="0">IF($B$224="1",K108,"")</f>
        <v/>
      </c>
      <c r="C126" s="17"/>
      <c r="D126" s="17" t="str">
        <f t="shared" ref="D126:D137" si="1">IF($D$224="1",K108,"")</f>
        <v/>
      </c>
      <c r="E126" s="17"/>
      <c r="F126" s="17"/>
      <c r="G126" s="17" t="s">
        <v>250</v>
      </c>
      <c r="H126" s="17" t="str">
        <f>IF(I48=H106,J107,IF(I48=K107,I107,IF(I48=K108,I108,IF(I48=K109,I109,IF(I48=K110,I110,IF(I48=K111,I111,IF(I48=K112,I112,IF(I48=K113,I113,IF(I48=K114,I114,IF(I48=K115,I115,IF(I48=K116,I116,IF(I48=K117,I117,IF(I48=K118,I118,IF(I48=K119,I119,IF(I48=K120,I120,IF(I48=K121,I121,IF(I48=K122,I122,IF(I48=K123,I123,""))))))))))))))))))</f>
        <v/>
      </c>
      <c r="I126" s="17"/>
      <c r="J126" s="152" t="str">
        <f>IF(O48=H106,J107,IF(O48=K107,I107,IF(O48=K108,I108,IF(O48=K109,I109,IF(O48=K110,I110,IF(O48=K111,I111,IF(O48=K112,I112,IF(O48=K113,I113,IF(O48=K114,I114,IF(O48=K115,I115,IF(O48=K116,I116,IF(O48=K117,I117,IF(O48=K118,I118,IF(O48=K119,I119,IF(O48=K120,I120,IF(O48=K121,I121,IF(O48=K122,I122,IF(O48=K123,I123,""))))))))))))))))))</f>
        <v/>
      </c>
      <c r="K126" s="17"/>
      <c r="L126" s="17"/>
      <c r="M126" s="17"/>
      <c r="N126" s="17"/>
      <c r="O126" s="21" t="s">
        <v>67</v>
      </c>
      <c r="P126" s="17"/>
      <c r="Q126" s="17">
        <v>11</v>
      </c>
      <c r="R126" s="17"/>
      <c r="S126" s="22"/>
      <c r="T126" s="21"/>
      <c r="U126" s="23"/>
      <c r="V126" s="23"/>
      <c r="W126" s="23"/>
    </row>
    <row r="127" spans="1:23" hidden="1">
      <c r="A127" s="17"/>
      <c r="B127" s="17" t="str">
        <f t="shared" si="0"/>
        <v/>
      </c>
      <c r="C127" s="17"/>
      <c r="D127" s="17" t="str">
        <f t="shared" si="1"/>
        <v/>
      </c>
      <c r="E127" s="17"/>
      <c r="F127" s="17" t="s">
        <v>251</v>
      </c>
      <c r="H127" s="17" t="str">
        <f>IF(I49=O107,(H126*I125)+Q107,IF(I49=O109,(H126*I125)+Q109,IF(I49=O108,(H126*I125)+Q108,IF(I49=O110,(H126*I125)+Q110,IF(I49=O111,(H126*I125)+Q111,IF(I49=O112,(H126*I125)+Q112,IF(I49=O113,(H126*I125)+Q113,IF(I49=O114,(H126*I125)+Q114,IF(I49=O115,(H126*I125)+Q115,IF(I49=O117,(H126*I125)+Q117,IF(I49=O118,(H126*I125)+Q118,IF(I49=O119,(H126*I125)+Q119,IF(I49=O122,(H126*I125)+Q122,IF(I49=O123,(H126*I125)+Q123,IF(I49=O124,(H126*I125)+Q124,IF(I49=O125,(H126*I125)+Q125,IF(I49=O126,(H126*I125)+Q126,IF(I49=O127,(H126*I125)+Q127,IF(I49=O128,(H126*I125)+Q128,IF(I49=O129,(H126*I125)+Q129,IF(I49=O130,(H126*I125)+Q130,IF(I49=O131,(H126*I125)+Q131,IF(I49=O132,(H126*I125)+Q132,IF(I49=O133,(H126*I125)+Q133,IF(I49=O134,(H126*I125)+Q134,IF(I49=O135,(H126*I125)+Q135,IF(I49=O136,(H126*I125)+Q136,"")))))))))))))))))))))))))))</f>
        <v/>
      </c>
      <c r="I127" s="17"/>
      <c r="J127" s="152" t="str">
        <f>IF(O49=O107,(J126*I125)+Q107,IF(O49=O109,(J126*I125)+Q109,IF(O49=O108,(J126*I125)+Q108,IF(O49=O110,(J126*I125)+Q110,IF(O49=O111,(J126*I125)+Q111,IF(O49=O112,(J126*I125)+Q112,IF(O49=O113,(J126*I125)+Q113,IF(O49=O114,(J126*I125)+Q114,IF(O49=O115,(J126*I125)+Q115,IF(O49=O117,(J126*I125)+Q117,IF(O49=O118,(J126*I125)+Q118,IF(O49=O119,(J126*I125)+Q119,IF(O49=O122,(J126*I125)+Q122,IF(O49=O123,(J126*I125)+Q123,IF(O49=O124,(J126*I125)+Q125,IF(O49=O125,(J126*I125)+Q124,IF(O49=O126,(J126*I125)+Q126,IF(O49=O127,(J126*I125)+Q127,IF(O49=O128,(J126*I125)+Q128,IF(O49=O129,(J126*I125)+Q129,IF(O49=O130,(J126*I125)+Q130,IF(O49=O131,(J126*I125)+Q131,IF(O49=O132,(J126*I125)+Q132,IF(O49=O133,(J126*I125)+Q133,IF(O49=O134,(J126*I125)+Q134,IF(O49=O135,(J126*I125)+Q135,IF(O49=O136,(J126*I125)+Q136,"")))))))))))))))))))))))))))</f>
        <v/>
      </c>
      <c r="K127" s="17"/>
      <c r="L127" s="17"/>
      <c r="M127" s="17"/>
      <c r="N127" s="17"/>
      <c r="O127" s="21" t="s">
        <v>66</v>
      </c>
      <c r="P127" s="17"/>
      <c r="Q127" s="17">
        <v>12</v>
      </c>
      <c r="R127" s="17"/>
      <c r="S127" s="22"/>
      <c r="T127" s="21"/>
      <c r="U127" s="23"/>
      <c r="V127" s="23"/>
      <c r="W127" s="23"/>
    </row>
    <row r="128" spans="1:23" hidden="1">
      <c r="A128" s="17"/>
      <c r="B128" s="17" t="str">
        <f t="shared" si="0"/>
        <v/>
      </c>
      <c r="C128" s="17"/>
      <c r="D128" s="17" t="str">
        <f t="shared" si="1"/>
        <v/>
      </c>
      <c r="E128" s="17"/>
      <c r="F128" s="17"/>
      <c r="G128" s="17"/>
      <c r="H128" s="17" t="str">
        <f>IF(H126=H106,J107,IF(H126=I107,O107,IF(H126=I108,O107,IF(H126=I109,O107,IF(H126=I110,O107,IF(H126=I111,O107,IF(H126=I112,O107,IF(H126=I113,O107,IF(H126=I114,O107,IF(H126=I115,O107,IF(H126=I116,O107,IF(H126=I117,O107,IF(H126=I118,O107,IF(H126=I119,O107,IF(H126=I122,O109,IF(H126=I123,O107,""))))))))))))))))</f>
        <v/>
      </c>
      <c r="I128" s="17"/>
      <c r="J128" s="152" t="str">
        <f>IF(J126=H106,J107,IF(J126=I107,O107,IF(J126=I108,O107,IF(J126=I109,O107,IF(J126=I110,O107,IF(J126=I111,O107,IF(J126=I112,O107,IF(J126=I113,O107,IF(J126=I114,O107,IF(J126=I115,O107,IF(J126=I116,O107,IF(J126=I117,O107,IF(J126=I118,O107,IF(J126=I119,O107,IF(J126=I122,O109,IF(J126=I123,O107,""))))))))))))))))</f>
        <v/>
      </c>
      <c r="K128" s="17"/>
      <c r="L128" s="17"/>
      <c r="M128" s="17"/>
      <c r="N128" s="17"/>
      <c r="O128" s="21" t="s">
        <v>65</v>
      </c>
      <c r="P128" s="17"/>
      <c r="Q128" s="17">
        <v>13</v>
      </c>
      <c r="R128" s="17"/>
      <c r="S128" s="22"/>
      <c r="T128" s="21"/>
      <c r="U128" s="23"/>
      <c r="V128" s="23"/>
      <c r="W128" s="23"/>
    </row>
    <row r="129" spans="1:23" hidden="1">
      <c r="A129" s="17"/>
      <c r="B129" s="17" t="str">
        <f t="shared" si="0"/>
        <v/>
      </c>
      <c r="C129" s="17"/>
      <c r="D129" s="17" t="str">
        <f t="shared" si="1"/>
        <v/>
      </c>
      <c r="E129" s="17"/>
      <c r="F129" s="17"/>
      <c r="G129" s="17"/>
      <c r="H129" s="17" t="str">
        <f>IF(H126=1,O108,IF(H126=2," ",IF(H126=3,O108,IF(H126&lt;10," ",IF(H126&lt;14,O108,IF(H126=16,O110,IF(H126=I123,O108,"")))))))</f>
        <v/>
      </c>
      <c r="I129" s="17"/>
      <c r="J129" s="152" t="str">
        <f>IF($J$126=1,O108,IF($J$126=2," ",IF($J$126=3,O108,IF($J$126&lt;10," ",IF($J$126&lt;14,O108,IF($J$126=16,O110,IF(J126=I123,O108,"")))))))</f>
        <v/>
      </c>
      <c r="K129" s="17"/>
      <c r="L129" s="17"/>
      <c r="M129" s="17"/>
      <c r="N129" s="17"/>
      <c r="O129" s="21" t="s">
        <v>64</v>
      </c>
      <c r="P129" s="17"/>
      <c r="Q129" s="17">
        <v>14</v>
      </c>
      <c r="R129" s="17"/>
      <c r="S129" s="22"/>
      <c r="T129" s="21"/>
      <c r="U129" s="23"/>
      <c r="V129" s="23"/>
      <c r="W129" s="23"/>
    </row>
    <row r="130" spans="1:23" hidden="1">
      <c r="A130" s="17"/>
      <c r="B130" s="17" t="str">
        <f t="shared" si="0"/>
        <v/>
      </c>
      <c r="C130" s="17"/>
      <c r="D130" s="17" t="str">
        <f t="shared" si="1"/>
        <v/>
      </c>
      <c r="E130" s="17"/>
      <c r="F130" s="17"/>
      <c r="G130" s="17"/>
      <c r="H130" s="17" t="str">
        <f>IF($H$126=16,O111,"")</f>
        <v/>
      </c>
      <c r="I130" s="17"/>
      <c r="J130" s="152" t="str">
        <f>IF($J$126=16,O111,"")</f>
        <v/>
      </c>
      <c r="K130" s="17"/>
      <c r="L130" s="17"/>
      <c r="M130" s="17"/>
      <c r="N130" s="17"/>
      <c r="O130" s="21" t="s">
        <v>63</v>
      </c>
      <c r="P130" s="17"/>
      <c r="Q130" s="17">
        <v>15</v>
      </c>
      <c r="R130" s="17"/>
      <c r="S130" s="22"/>
      <c r="T130" s="21"/>
      <c r="U130" s="23"/>
      <c r="V130" s="23"/>
      <c r="W130" s="23"/>
    </row>
    <row r="131" spans="1:23" hidden="1">
      <c r="A131" s="17"/>
      <c r="B131" s="17" t="str">
        <f t="shared" si="0"/>
        <v/>
      </c>
      <c r="C131" s="17"/>
      <c r="D131" s="17" t="str">
        <f t="shared" si="1"/>
        <v/>
      </c>
      <c r="E131" s="17"/>
      <c r="F131" s="17"/>
      <c r="G131" s="17"/>
      <c r="H131" s="17" t="str">
        <f>IF($H$126=14,O112,IF(H126=15,O112,""))</f>
        <v/>
      </c>
      <c r="I131" s="17"/>
      <c r="J131" s="152" t="str">
        <f>IF($J$126=14,O112,IF(J126=15,O112,""))</f>
        <v/>
      </c>
      <c r="K131" s="17"/>
      <c r="L131" s="17"/>
      <c r="M131" s="17"/>
      <c r="N131" s="17"/>
      <c r="O131" s="21" t="s">
        <v>62</v>
      </c>
      <c r="P131" s="17"/>
      <c r="Q131" s="17">
        <v>16</v>
      </c>
      <c r="R131" s="17"/>
      <c r="S131" s="22"/>
      <c r="T131" s="21"/>
      <c r="U131" s="23"/>
      <c r="V131" s="23"/>
      <c r="W131" s="23"/>
    </row>
    <row r="132" spans="1:23" hidden="1">
      <c r="A132" s="17"/>
      <c r="B132" s="17" t="str">
        <f t="shared" si="0"/>
        <v/>
      </c>
      <c r="C132" s="17"/>
      <c r="D132" s="17" t="str">
        <f t="shared" si="1"/>
        <v/>
      </c>
      <c r="E132" s="71"/>
      <c r="F132" s="17"/>
      <c r="G132" s="17"/>
      <c r="H132" s="17" t="str">
        <f>IF($H$126=14,O113,IF(H126=15,O113,""))</f>
        <v/>
      </c>
      <c r="I132" s="17"/>
      <c r="J132" s="152" t="str">
        <f>IF($J$126=14,O113,IF(J126=15,O113,""))</f>
        <v/>
      </c>
      <c r="K132" s="17"/>
      <c r="L132" s="17"/>
      <c r="M132" s="17"/>
      <c r="N132" s="17"/>
      <c r="O132" s="21" t="s">
        <v>61</v>
      </c>
      <c r="P132" s="17"/>
      <c r="Q132" s="17">
        <v>5</v>
      </c>
      <c r="R132" s="17"/>
      <c r="S132" s="22"/>
      <c r="T132" s="21"/>
      <c r="U132" s="23"/>
      <c r="V132" s="23"/>
      <c r="W132" s="23"/>
    </row>
    <row r="133" spans="1:23" hidden="1">
      <c r="A133" s="17"/>
      <c r="B133" s="17" t="str">
        <f t="shared" si="0"/>
        <v/>
      </c>
      <c r="C133" s="17"/>
      <c r="D133" s="17" t="str">
        <f t="shared" si="1"/>
        <v/>
      </c>
      <c r="E133" s="17"/>
      <c r="F133" s="17"/>
      <c r="G133" s="17"/>
      <c r="H133" s="17" t="str">
        <f>IF($H$126=14,O114,IF(H126=15,O114,""))</f>
        <v/>
      </c>
      <c r="I133" s="17"/>
      <c r="J133" s="152" t="str">
        <f>IF($J$126=14,O114,IF(J126=15,O114,""))</f>
        <v/>
      </c>
      <c r="K133" s="17"/>
      <c r="L133" s="17"/>
      <c r="M133" s="17"/>
      <c r="N133" s="17"/>
      <c r="O133" s="21" t="s">
        <v>60</v>
      </c>
      <c r="P133" s="17"/>
      <c r="Q133" s="17">
        <v>18</v>
      </c>
      <c r="R133" s="17"/>
      <c r="S133" s="22"/>
      <c r="T133" s="21"/>
      <c r="U133" s="23"/>
      <c r="V133" s="23"/>
      <c r="W133" s="23"/>
    </row>
    <row r="134" spans="1:23" hidden="1">
      <c r="A134" s="17"/>
      <c r="B134" s="17" t="str">
        <f t="shared" si="0"/>
        <v/>
      </c>
      <c r="C134" s="17"/>
      <c r="D134" s="17" t="str">
        <f t="shared" si="1"/>
        <v/>
      </c>
      <c r="E134" s="17"/>
      <c r="F134" s="17"/>
      <c r="G134" s="17"/>
      <c r="H134" s="17" t="str">
        <f>IF($H$126=14,O115,IF(H126=15,O115,""))</f>
        <v/>
      </c>
      <c r="I134" s="17"/>
      <c r="J134" s="152" t="str">
        <f>IF($J$126=14,O115,IF(J126=15,O115,""))</f>
        <v/>
      </c>
      <c r="K134" s="17"/>
      <c r="L134" s="17"/>
      <c r="M134" s="17"/>
      <c r="N134" s="17"/>
      <c r="O134" s="21" t="s">
        <v>59</v>
      </c>
      <c r="P134" s="17"/>
      <c r="Q134" s="17">
        <v>19</v>
      </c>
      <c r="R134" s="17"/>
      <c r="S134" s="22"/>
      <c r="T134" s="21"/>
      <c r="U134" s="23"/>
      <c r="V134" s="23"/>
      <c r="W134" s="23"/>
    </row>
    <row r="135" spans="1:23" hidden="1">
      <c r="A135" s="17"/>
      <c r="B135" s="17" t="str">
        <f t="shared" si="0"/>
        <v/>
      </c>
      <c r="C135" s="17"/>
      <c r="D135" s="17" t="str">
        <f t="shared" si="1"/>
        <v/>
      </c>
      <c r="E135" s="17"/>
      <c r="F135" s="17"/>
      <c r="G135" s="17"/>
      <c r="H135" s="17" t="str">
        <f>IF($H$126=16,O117,IF($H$126=14,O132,IF($H$126=15,O132,"")))</f>
        <v/>
      </c>
      <c r="I135" s="17"/>
      <c r="J135" s="152" t="str">
        <f>IF($J$126=16,O117,IF($J$126=14,O132,IF($J$126=15,O132,"")))</f>
        <v/>
      </c>
      <c r="K135" s="17"/>
      <c r="L135" s="17"/>
      <c r="M135" s="17"/>
      <c r="N135" s="17"/>
      <c r="O135" s="21" t="s">
        <v>58</v>
      </c>
      <c r="P135" s="17"/>
      <c r="Q135" s="17">
        <v>20</v>
      </c>
      <c r="R135" s="17"/>
      <c r="S135" s="22"/>
      <c r="T135" s="21"/>
      <c r="U135" s="23"/>
      <c r="V135" s="23"/>
      <c r="W135" s="23"/>
    </row>
    <row r="136" spans="1:23" hidden="1">
      <c r="A136" s="17"/>
      <c r="B136" s="17" t="str">
        <f t="shared" si="0"/>
        <v/>
      </c>
      <c r="C136" s="17"/>
      <c r="D136" s="17" t="str">
        <f t="shared" si="1"/>
        <v/>
      </c>
      <c r="E136" s="17"/>
      <c r="F136" s="17"/>
      <c r="G136" s="17"/>
      <c r="H136" s="17" t="str">
        <f>IF($H$126=16,O118,"")</f>
        <v/>
      </c>
      <c r="I136" s="17"/>
      <c r="J136" s="152" t="str">
        <f>IF($J$126=16,O118,"")</f>
        <v/>
      </c>
      <c r="K136" s="17"/>
      <c r="L136" s="17"/>
      <c r="M136" s="17"/>
      <c r="N136" s="17"/>
      <c r="O136" s="153" t="s">
        <v>57</v>
      </c>
      <c r="P136" s="17"/>
      <c r="Q136" s="17">
        <v>21</v>
      </c>
      <c r="R136" s="17"/>
      <c r="S136" s="22"/>
      <c r="T136" s="21"/>
      <c r="U136" s="23"/>
      <c r="V136" s="23"/>
      <c r="W136" s="23"/>
    </row>
    <row r="137" spans="1:23" hidden="1">
      <c r="A137" s="17"/>
      <c r="B137" s="17" t="str">
        <f t="shared" si="0"/>
        <v/>
      </c>
      <c r="C137" s="17"/>
      <c r="D137" s="17" t="str">
        <f t="shared" si="1"/>
        <v/>
      </c>
      <c r="E137" s="17"/>
      <c r="F137" s="17"/>
      <c r="G137" s="17"/>
      <c r="H137" s="17" t="str">
        <f>IF($H$126=16,O119,"")</f>
        <v/>
      </c>
      <c r="I137" s="17"/>
      <c r="J137" s="152" t="str">
        <f>IF($J$126=16,O119,"")</f>
        <v/>
      </c>
      <c r="K137" s="17"/>
      <c r="L137" s="17"/>
      <c r="M137" s="17"/>
      <c r="N137" s="17"/>
      <c r="O137" s="154"/>
      <c r="P137" s="130"/>
      <c r="Q137" s="130"/>
      <c r="R137" s="17"/>
      <c r="S137" s="22"/>
      <c r="T137" s="21"/>
      <c r="U137" s="23"/>
      <c r="V137" s="23"/>
      <c r="W137" s="23"/>
    </row>
    <row r="138" spans="1:23" hidden="1">
      <c r="A138" s="17"/>
      <c r="B138" s="17" t="str">
        <f>IF($B$224="1",K121,"")</f>
        <v/>
      </c>
      <c r="C138" s="17"/>
      <c r="D138" s="17" t="str">
        <f>IF($D$224="1",K121,"")</f>
        <v/>
      </c>
      <c r="E138" s="17"/>
      <c r="F138" s="17"/>
      <c r="G138" s="17"/>
      <c r="H138" s="17" t="str">
        <f t="shared" ref="H138:H146" si="2">IF($H$126=16,O122,"")</f>
        <v/>
      </c>
      <c r="I138" s="17"/>
      <c r="J138" s="152" t="str">
        <f t="shared" ref="J138:J147" si="3">IF($J$126=16,O122,"")</f>
        <v/>
      </c>
      <c r="K138" s="17"/>
      <c r="L138" s="17"/>
      <c r="M138" s="17"/>
      <c r="N138" s="17"/>
      <c r="O138" s="154"/>
      <c r="P138" s="130"/>
      <c r="Q138" s="130"/>
      <c r="R138" s="17"/>
      <c r="S138" s="22"/>
      <c r="T138" s="21"/>
      <c r="U138" s="23"/>
      <c r="V138" s="23"/>
      <c r="W138" s="23"/>
    </row>
    <row r="139" spans="1:23" hidden="1">
      <c r="A139" s="17"/>
      <c r="B139" s="17"/>
      <c r="C139" s="17"/>
      <c r="D139" s="17"/>
      <c r="E139" s="17"/>
      <c r="F139" s="17"/>
      <c r="G139" s="17"/>
      <c r="H139" s="17" t="str">
        <f t="shared" si="2"/>
        <v/>
      </c>
      <c r="I139" s="17"/>
      <c r="J139" s="152" t="str">
        <f t="shared" si="3"/>
        <v/>
      </c>
      <c r="K139" s="17"/>
      <c r="L139" s="17"/>
      <c r="M139" s="17"/>
      <c r="N139" s="17"/>
      <c r="O139" s="130"/>
      <c r="P139" s="17"/>
      <c r="Q139" s="17"/>
      <c r="R139" s="17"/>
      <c r="S139" s="22"/>
      <c r="T139" s="21"/>
      <c r="U139" s="23"/>
      <c r="V139" s="23"/>
      <c r="W139" s="23"/>
    </row>
    <row r="140" spans="1:23" hidden="1">
      <c r="A140" s="17"/>
      <c r="B140" s="17"/>
      <c r="C140" s="17"/>
      <c r="D140" s="17"/>
      <c r="E140" s="17"/>
      <c r="F140" s="17"/>
      <c r="G140" s="17"/>
      <c r="H140" s="17" t="str">
        <f t="shared" si="2"/>
        <v/>
      </c>
      <c r="I140" s="17"/>
      <c r="J140" s="152" t="str">
        <f t="shared" si="3"/>
        <v/>
      </c>
      <c r="K140" s="17"/>
      <c r="L140" s="17"/>
      <c r="M140" s="17"/>
      <c r="N140" s="17"/>
      <c r="O140" s="17"/>
      <c r="P140" s="17"/>
      <c r="Q140" s="17"/>
      <c r="R140" s="17"/>
      <c r="S140" s="22"/>
      <c r="T140" s="21"/>
      <c r="U140" s="23"/>
      <c r="V140" s="23"/>
      <c r="W140" s="23"/>
    </row>
    <row r="141" spans="1:23" hidden="1">
      <c r="A141" s="17"/>
      <c r="B141" s="17"/>
      <c r="C141" s="17"/>
      <c r="D141" s="17"/>
      <c r="E141" s="17"/>
      <c r="F141" s="17"/>
      <c r="G141" s="17"/>
      <c r="H141" s="17" t="str">
        <f t="shared" si="2"/>
        <v/>
      </c>
      <c r="I141" s="17"/>
      <c r="J141" s="152" t="str">
        <f t="shared" si="3"/>
        <v/>
      </c>
      <c r="K141" s="17"/>
      <c r="L141" s="17"/>
      <c r="M141" s="17"/>
      <c r="N141" s="17"/>
      <c r="O141" s="17"/>
      <c r="P141" s="17"/>
      <c r="Q141" s="17"/>
      <c r="R141" s="17"/>
      <c r="S141" s="22"/>
      <c r="T141" s="21"/>
      <c r="U141" s="23"/>
      <c r="V141" s="23"/>
      <c r="W141" s="23"/>
    </row>
    <row r="142" spans="1:23" hidden="1">
      <c r="A142" s="17"/>
      <c r="B142" s="17"/>
      <c r="C142" s="17"/>
      <c r="D142" s="17"/>
      <c r="E142" s="17"/>
      <c r="F142" s="17"/>
      <c r="G142" s="17"/>
      <c r="H142" s="17" t="str">
        <f t="shared" si="2"/>
        <v/>
      </c>
      <c r="I142" s="17"/>
      <c r="J142" s="208" t="str">
        <f t="shared" si="3"/>
        <v/>
      </c>
      <c r="K142" s="17"/>
      <c r="L142" s="17"/>
      <c r="M142" s="17"/>
      <c r="N142" s="17"/>
      <c r="O142" s="17"/>
      <c r="P142" s="17"/>
      <c r="Q142" s="17"/>
      <c r="R142" s="17"/>
      <c r="S142" s="22"/>
      <c r="T142" s="21"/>
      <c r="U142" s="23"/>
      <c r="V142" s="23"/>
      <c r="W142" s="23"/>
    </row>
    <row r="143" spans="1:23" hidden="1">
      <c r="A143" s="17"/>
      <c r="B143" s="17"/>
      <c r="C143" s="17"/>
      <c r="D143" s="17"/>
      <c r="E143" s="17"/>
      <c r="F143" s="17"/>
      <c r="G143" s="17"/>
      <c r="H143" s="17" t="str">
        <f t="shared" si="2"/>
        <v/>
      </c>
      <c r="I143" s="17"/>
      <c r="J143" s="208" t="str">
        <f t="shared" si="3"/>
        <v/>
      </c>
      <c r="K143" s="17"/>
      <c r="L143" s="17"/>
      <c r="M143" s="17"/>
      <c r="N143" s="17"/>
      <c r="O143" s="17"/>
      <c r="P143" s="17"/>
      <c r="Q143" s="17"/>
      <c r="R143" s="17"/>
      <c r="S143" s="22"/>
      <c r="T143" s="21"/>
      <c r="U143" s="23"/>
      <c r="V143" s="23"/>
      <c r="W143" s="23"/>
    </row>
    <row r="144" spans="1:23" hidden="1">
      <c r="A144" s="17"/>
      <c r="B144" s="17"/>
      <c r="C144" s="17"/>
      <c r="D144" s="17"/>
      <c r="E144" s="17"/>
      <c r="F144" s="17"/>
      <c r="G144" s="17"/>
      <c r="H144" s="17" t="str">
        <f t="shared" si="2"/>
        <v/>
      </c>
      <c r="I144" s="17"/>
      <c r="J144" s="152" t="str">
        <f t="shared" si="3"/>
        <v/>
      </c>
      <c r="K144" s="17"/>
      <c r="L144" s="17"/>
      <c r="M144" s="17"/>
      <c r="N144" s="17"/>
      <c r="O144" s="17"/>
      <c r="P144" s="17"/>
      <c r="Q144" s="17"/>
      <c r="R144" s="17"/>
      <c r="S144" s="22"/>
      <c r="T144" s="21"/>
      <c r="U144" s="23"/>
      <c r="V144" s="23"/>
      <c r="W144" s="23"/>
    </row>
    <row r="145" spans="1:23" hidden="1">
      <c r="A145" s="17"/>
      <c r="B145" s="17"/>
      <c r="C145" s="17"/>
      <c r="D145" s="17"/>
      <c r="E145" s="17"/>
      <c r="F145" s="17"/>
      <c r="G145" s="17"/>
      <c r="H145" s="17" t="str">
        <f t="shared" si="2"/>
        <v/>
      </c>
      <c r="I145" s="17"/>
      <c r="J145" s="152" t="str">
        <f t="shared" si="3"/>
        <v/>
      </c>
      <c r="K145" s="17"/>
      <c r="L145" s="17"/>
      <c r="M145" s="17"/>
      <c r="N145" s="17"/>
      <c r="O145" s="17"/>
      <c r="P145" s="17"/>
      <c r="Q145" s="17"/>
      <c r="R145" s="17"/>
      <c r="S145" s="22"/>
      <c r="T145" s="21"/>
      <c r="U145" s="23"/>
      <c r="V145" s="23"/>
      <c r="W145" s="23"/>
    </row>
    <row r="146" spans="1:23" hidden="1">
      <c r="A146" s="17"/>
      <c r="B146" s="17"/>
      <c r="C146" s="17"/>
      <c r="D146" s="17"/>
      <c r="E146" s="17"/>
      <c r="F146" s="17"/>
      <c r="G146" s="17"/>
      <c r="H146" s="17" t="str">
        <f t="shared" si="2"/>
        <v/>
      </c>
      <c r="I146" s="17"/>
      <c r="J146" s="152" t="str">
        <f t="shared" si="3"/>
        <v/>
      </c>
      <c r="K146" s="17"/>
      <c r="L146" s="17"/>
      <c r="M146" s="17"/>
      <c r="N146" s="17"/>
      <c r="O146" s="17"/>
      <c r="P146" s="17"/>
      <c r="Q146" s="17"/>
      <c r="R146" s="17"/>
      <c r="S146" s="22"/>
      <c r="T146" s="21"/>
      <c r="U146" s="23"/>
      <c r="V146" s="23"/>
      <c r="W146" s="23"/>
    </row>
    <row r="147" spans="1:23" hidden="1">
      <c r="A147" s="17"/>
      <c r="B147" s="17"/>
      <c r="C147" s="17"/>
      <c r="D147" s="17"/>
      <c r="E147" s="17"/>
      <c r="F147" s="17"/>
      <c r="G147" s="17"/>
      <c r="H147" s="17" t="str">
        <f>IF($H$126=16,O131,"")</f>
        <v/>
      </c>
      <c r="I147" s="17"/>
      <c r="J147" s="152" t="str">
        <f t="shared" si="3"/>
        <v/>
      </c>
      <c r="K147" s="17"/>
      <c r="L147" s="17"/>
      <c r="M147" s="17"/>
      <c r="N147" s="17"/>
      <c r="O147" s="17"/>
      <c r="P147" s="17"/>
      <c r="Q147" s="17"/>
      <c r="R147" s="17"/>
      <c r="S147" s="22"/>
      <c r="T147" s="21"/>
      <c r="U147" s="23"/>
      <c r="V147" s="23"/>
      <c r="W147" s="23"/>
    </row>
    <row r="148" spans="1:23" hidden="1">
      <c r="A148" s="17"/>
      <c r="B148" s="17"/>
      <c r="C148" s="17"/>
      <c r="D148" s="17"/>
      <c r="E148" s="17"/>
      <c r="F148" s="17"/>
      <c r="G148" s="17"/>
      <c r="H148" s="17" t="str">
        <f>IF($H$126=16,O133,"")</f>
        <v/>
      </c>
      <c r="I148" s="17"/>
      <c r="J148" s="152" t="str">
        <f>IF($J$126=16,O133,"")</f>
        <v/>
      </c>
      <c r="K148" s="17"/>
      <c r="L148" s="17"/>
      <c r="M148" s="17"/>
      <c r="N148" s="17"/>
      <c r="O148" s="17"/>
      <c r="P148" s="17"/>
      <c r="Q148" s="17"/>
      <c r="R148" s="17"/>
      <c r="S148" s="22"/>
      <c r="T148" s="21"/>
      <c r="U148" s="23"/>
      <c r="V148" s="23"/>
      <c r="W148" s="23"/>
    </row>
    <row r="149" spans="1:23" hidden="1">
      <c r="A149" s="17"/>
      <c r="B149" s="17"/>
      <c r="C149" s="17"/>
      <c r="D149" s="17"/>
      <c r="E149" s="17"/>
      <c r="F149" s="17"/>
      <c r="G149" s="17"/>
      <c r="H149" s="17" t="str">
        <f>IF($H$126=16,O134,"")</f>
        <v/>
      </c>
      <c r="I149" s="17"/>
      <c r="J149" s="152" t="str">
        <f>IF($J$126=16,O134,"")</f>
        <v/>
      </c>
      <c r="K149" s="17"/>
      <c r="L149" s="17"/>
      <c r="M149" s="17"/>
      <c r="N149" s="17"/>
      <c r="O149" s="17"/>
      <c r="P149" s="17"/>
      <c r="Q149" s="17"/>
      <c r="R149" s="17"/>
      <c r="S149" s="22"/>
      <c r="T149" s="21"/>
      <c r="U149" s="23"/>
      <c r="V149" s="23"/>
      <c r="W149" s="23"/>
    </row>
    <row r="150" spans="1:23" hidden="1">
      <c r="A150" s="17"/>
      <c r="B150" s="17"/>
      <c r="C150" s="17"/>
      <c r="D150" s="17"/>
      <c r="E150" s="17"/>
      <c r="F150" s="17"/>
      <c r="G150" s="17"/>
      <c r="H150" s="17" t="str">
        <f>IF($H$126=16,O135,"")</f>
        <v/>
      </c>
      <c r="I150" s="17"/>
      <c r="J150" s="152" t="str">
        <f>IF($J$126=16,O135,"")</f>
        <v/>
      </c>
      <c r="K150" s="17"/>
      <c r="L150" s="17"/>
      <c r="M150" s="17"/>
      <c r="N150" s="17"/>
      <c r="O150" s="17"/>
      <c r="P150" s="17"/>
      <c r="Q150" s="17"/>
      <c r="R150" s="17"/>
      <c r="S150" s="22"/>
      <c r="T150" s="21"/>
      <c r="U150" s="23"/>
      <c r="V150" s="23"/>
      <c r="W150" s="23"/>
    </row>
    <row r="151" spans="1:23" hidden="1">
      <c r="A151" s="17"/>
      <c r="B151" s="27"/>
      <c r="C151" s="17"/>
      <c r="D151" s="17"/>
      <c r="E151" s="17"/>
      <c r="F151" s="17"/>
      <c r="G151" s="17"/>
      <c r="H151" s="17" t="str">
        <f>IF($H$126=16,O136,"")</f>
        <v/>
      </c>
      <c r="I151" s="17"/>
      <c r="J151" s="152" t="str">
        <f>IF($J$126=16,O136,"")</f>
        <v/>
      </c>
      <c r="K151" s="17"/>
      <c r="L151" s="17"/>
      <c r="M151" s="17"/>
      <c r="N151" s="17"/>
      <c r="O151" s="17"/>
      <c r="P151" s="17"/>
      <c r="Q151" s="17"/>
      <c r="R151" s="17"/>
      <c r="S151" s="22"/>
      <c r="T151" s="21"/>
      <c r="U151" s="23"/>
      <c r="V151" s="23"/>
      <c r="W151" s="23"/>
    </row>
    <row r="152" spans="1:23" hidden="1">
      <c r="A152" s="17"/>
      <c r="B152" s="27"/>
      <c r="C152" s="71"/>
      <c r="D152" s="71"/>
      <c r="E152" s="71"/>
      <c r="F152" s="71"/>
      <c r="G152" s="17"/>
      <c r="H152" s="17" t="str">
        <f>IF($H$126=16,O137,"")</f>
        <v/>
      </c>
      <c r="I152" s="17"/>
      <c r="J152" s="152" t="str">
        <f>IF($J$126=16,O137,"")</f>
        <v/>
      </c>
      <c r="K152" s="17"/>
      <c r="L152" s="17"/>
      <c r="M152" s="17"/>
      <c r="N152" s="17"/>
      <c r="O152" s="17"/>
      <c r="P152" s="17"/>
      <c r="Q152" s="17"/>
      <c r="R152" s="17"/>
      <c r="S152" s="22"/>
      <c r="T152" s="21"/>
      <c r="U152" s="23"/>
      <c r="V152" s="23"/>
      <c r="W152" s="23"/>
    </row>
    <row r="153" spans="1:23" hidden="1">
      <c r="A153" s="17"/>
      <c r="B153" s="27"/>
      <c r="C153" s="17"/>
      <c r="D153" s="17"/>
      <c r="E153" s="17"/>
      <c r="F153" s="17"/>
      <c r="G153" s="17"/>
      <c r="H153" s="17" t="str">
        <f>IF($H$134=16,O138,"")</f>
        <v/>
      </c>
      <c r="I153" s="17"/>
      <c r="J153" s="152" t="str">
        <f>IF($J$134=16,O138,"")</f>
        <v/>
      </c>
      <c r="K153" s="17"/>
      <c r="L153" s="17"/>
      <c r="M153" s="17"/>
      <c r="N153" s="17"/>
      <c r="O153" s="17"/>
      <c r="P153" s="17"/>
      <c r="Q153" s="17"/>
      <c r="R153" s="17"/>
      <c r="S153" s="22"/>
      <c r="T153" s="21"/>
      <c r="U153" s="23"/>
      <c r="V153" s="23"/>
      <c r="W153" s="23"/>
    </row>
    <row r="154" spans="1:23" hidden="1">
      <c r="A154" s="17"/>
      <c r="B154" s="27"/>
      <c r="C154" s="71"/>
      <c r="D154" s="71"/>
      <c r="E154" s="71"/>
      <c r="F154" s="71"/>
      <c r="G154" s="17"/>
      <c r="H154" s="17" t="str">
        <f>IF($H$134=16,O139,"")</f>
        <v/>
      </c>
      <c r="I154" s="17"/>
      <c r="J154" s="152" t="str">
        <f>IF($J$134=16,O139,"")</f>
        <v/>
      </c>
      <c r="K154" s="17"/>
      <c r="L154" s="17"/>
      <c r="M154" s="17"/>
      <c r="N154" s="17"/>
      <c r="O154" s="17"/>
      <c r="P154" s="17"/>
      <c r="Q154" s="17"/>
      <c r="R154" s="17"/>
      <c r="S154" s="22"/>
      <c r="T154" s="21"/>
      <c r="U154" s="23"/>
      <c r="V154" s="23"/>
      <c r="W154" s="23"/>
    </row>
    <row r="155" spans="1:23" hidden="1"/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</sheetData>
  <sheetProtection algorithmName="SHA-512" hashValue="12kG+3NY6PsKc5FFqog+C7IhoGo7zFCqTYd4KC8tnQS4VIIt6vc3dik1EIeFhLNW1wxymSdeVn4teUlkItnyTQ==" saltValue="CfPtFtaPUwb1wxhX1dIDKA==" spinCount="100000" sheet="1" formatRows="0"/>
  <mergeCells count="98">
    <mergeCell ref="M28:O28"/>
    <mergeCell ref="M29:O29"/>
    <mergeCell ref="A56:H56"/>
    <mergeCell ref="I56:K56"/>
    <mergeCell ref="L56:N56"/>
    <mergeCell ref="O56:Q56"/>
    <mergeCell ref="A51:H51"/>
    <mergeCell ref="I51:N51"/>
    <mergeCell ref="O51:T51"/>
    <mergeCell ref="A53:H54"/>
    <mergeCell ref="I53:N53"/>
    <mergeCell ref="O53:T53"/>
    <mergeCell ref="I54:K54"/>
    <mergeCell ref="L54:N54"/>
    <mergeCell ref="O54:Q54"/>
    <mergeCell ref="R54:T54"/>
    <mergeCell ref="R56:T56"/>
    <mergeCell ref="A55:H55"/>
    <mergeCell ref="I55:K55"/>
    <mergeCell ref="L55:N55"/>
    <mergeCell ref="O55:Q55"/>
    <mergeCell ref="R55:T55"/>
    <mergeCell ref="A45:T45"/>
    <mergeCell ref="A47:H47"/>
    <mergeCell ref="I47:N47"/>
    <mergeCell ref="O47:T47"/>
    <mergeCell ref="A48:H48"/>
    <mergeCell ref="I48:N48"/>
    <mergeCell ref="O48:T48"/>
    <mergeCell ref="A49:H49"/>
    <mergeCell ref="I49:N49"/>
    <mergeCell ref="O49:T49"/>
    <mergeCell ref="A50:H50"/>
    <mergeCell ref="I50:N50"/>
    <mergeCell ref="O50:T50"/>
    <mergeCell ref="A43:L43"/>
    <mergeCell ref="M43:O43"/>
    <mergeCell ref="P43:Q43"/>
    <mergeCell ref="A35:L35"/>
    <mergeCell ref="M35:O35"/>
    <mergeCell ref="A36:L36"/>
    <mergeCell ref="M36:O36"/>
    <mergeCell ref="A38:T38"/>
    <mergeCell ref="A40:L40"/>
    <mergeCell ref="M40:O40"/>
    <mergeCell ref="A41:L41"/>
    <mergeCell ref="M41:O41"/>
    <mergeCell ref="A42:L42"/>
    <mergeCell ref="M42:O42"/>
    <mergeCell ref="P42:Q42"/>
    <mergeCell ref="A34:L34"/>
    <mergeCell ref="M34:O34"/>
    <mergeCell ref="A22:T22"/>
    <mergeCell ref="A24:L24"/>
    <mergeCell ref="M24:O24"/>
    <mergeCell ref="A25:L25"/>
    <mergeCell ref="M25:O25"/>
    <mergeCell ref="A26:L26"/>
    <mergeCell ref="M26:O26"/>
    <mergeCell ref="A27:L27"/>
    <mergeCell ref="M27:O27"/>
    <mergeCell ref="A31:T31"/>
    <mergeCell ref="A33:L33"/>
    <mergeCell ref="M33:O33"/>
    <mergeCell ref="A28:L28"/>
    <mergeCell ref="A29:L29"/>
    <mergeCell ref="A20:E20"/>
    <mergeCell ref="F20:H20"/>
    <mergeCell ref="I20:L20"/>
    <mergeCell ref="A17:E17"/>
    <mergeCell ref="F17:H17"/>
    <mergeCell ref="I17:L17"/>
    <mergeCell ref="A18:E18"/>
    <mergeCell ref="F18:H18"/>
    <mergeCell ref="I18:L18"/>
    <mergeCell ref="F16:H16"/>
    <mergeCell ref="I16:L16"/>
    <mergeCell ref="A4:F4"/>
    <mergeCell ref="A5:T5"/>
    <mergeCell ref="A19:E19"/>
    <mergeCell ref="F19:H19"/>
    <mergeCell ref="I19:L19"/>
    <mergeCell ref="H103:I103"/>
    <mergeCell ref="V94:X94"/>
    <mergeCell ref="V95:X95"/>
    <mergeCell ref="A1:T1"/>
    <mergeCell ref="A2:T2"/>
    <mergeCell ref="A3:T3"/>
    <mergeCell ref="A6:T6"/>
    <mergeCell ref="B63:E63"/>
    <mergeCell ref="B64:E64"/>
    <mergeCell ref="A66:T66"/>
    <mergeCell ref="A10:T10"/>
    <mergeCell ref="A14:E14"/>
    <mergeCell ref="F14:H14"/>
    <mergeCell ref="I14:L14"/>
    <mergeCell ref="A15:I15"/>
    <mergeCell ref="A16:E16"/>
  </mergeCells>
  <conditionalFormatting sqref="M24:O26">
    <cfRule type="cellIs" dxfId="13" priority="14" operator="equal">
      <formula>""</formula>
    </cfRule>
  </conditionalFormatting>
  <conditionalFormatting sqref="I14:L14">
    <cfRule type="cellIs" dxfId="12" priority="13" operator="equal">
      <formula>""</formula>
    </cfRule>
  </conditionalFormatting>
  <conditionalFormatting sqref="A5:T5">
    <cfRule type="cellIs" dxfId="11" priority="12" operator="equal">
      <formula>""</formula>
    </cfRule>
  </conditionalFormatting>
  <conditionalFormatting sqref="A10:T10">
    <cfRule type="cellIs" dxfId="10" priority="11" operator="equal">
      <formula>""</formula>
    </cfRule>
  </conditionalFormatting>
  <conditionalFormatting sqref="M33:O34">
    <cfRule type="cellIs" dxfId="9" priority="10" operator="equal">
      <formula>""</formula>
    </cfRule>
  </conditionalFormatting>
  <conditionalFormatting sqref="M40:O41">
    <cfRule type="cellIs" dxfId="8" priority="9" operator="equal">
      <formula>""</formula>
    </cfRule>
  </conditionalFormatting>
  <conditionalFormatting sqref="P42:Q42">
    <cfRule type="cellIs" dxfId="7" priority="8" operator="equal">
      <formula>""</formula>
    </cfRule>
  </conditionalFormatting>
  <conditionalFormatting sqref="I48">
    <cfRule type="cellIs" dxfId="6" priority="7" operator="equal">
      <formula>""</formula>
    </cfRule>
  </conditionalFormatting>
  <conditionalFormatting sqref="I49">
    <cfRule type="cellIs" dxfId="5" priority="6" operator="equal">
      <formula>""</formula>
    </cfRule>
  </conditionalFormatting>
  <conditionalFormatting sqref="O48">
    <cfRule type="cellIs" dxfId="4" priority="5" operator="equal">
      <formula>""</formula>
    </cfRule>
  </conditionalFormatting>
  <conditionalFormatting sqref="O49">
    <cfRule type="cellIs" dxfId="3" priority="4" operator="equal">
      <formula>""</formula>
    </cfRule>
  </conditionalFormatting>
  <conditionalFormatting sqref="I16:L20">
    <cfRule type="cellIs" dxfId="2" priority="3" operator="equal">
      <formula>""</formula>
    </cfRule>
  </conditionalFormatting>
  <conditionalFormatting sqref="F20:H20">
    <cfRule type="cellIs" dxfId="1" priority="2" operator="equal">
      <formula>""</formula>
    </cfRule>
  </conditionalFormatting>
  <conditionalFormatting sqref="M42:O42">
    <cfRule type="cellIs" dxfId="0" priority="1" operator="equal">
      <formula>""</formula>
    </cfRule>
  </conditionalFormatting>
  <dataValidations count="4">
    <dataValidation type="list" allowBlank="1" showInputMessage="1" showErrorMessage="1" sqref="I48 O48:T48" xr:uid="{00000000-0002-0000-0700-000000000000}">
      <formula1>$K$107:$K$123</formula1>
    </dataValidation>
    <dataValidation type="list" allowBlank="1" showInputMessage="1" showErrorMessage="1" sqref="P42:Q42" xr:uid="{00000000-0002-0000-0700-000001000000}">
      <formula1>$U$94:$U$95</formula1>
    </dataValidation>
    <dataValidation type="list" allowBlank="1" showInputMessage="1" showErrorMessage="1" sqref="I49:N49" xr:uid="{00000000-0002-0000-0700-000002000000}">
      <formula1>$H$128:$H$152</formula1>
    </dataValidation>
    <dataValidation type="list" allowBlank="1" showInputMessage="1" showErrorMessage="1" sqref="O49:T49" xr:uid="{00000000-0002-0000-0700-000003000000}">
      <formula1>$J$128:$J$152</formula1>
    </dataValidation>
  </dataValidations>
  <pageMargins left="0.7" right="0.7" top="0.75" bottom="0.75" header="0.3" footer="0.3"/>
  <pageSetup paperSize="9" scale="85" orientation="portrait" r:id="rId1"/>
  <headerFooter>
    <oddFooter>&amp;C&amp;"-,Standardowy"Strona &amp;P z &amp;N&amp;R&amp;"-,Standardowy"&amp;8v2022-1</oddFooter>
  </headerFooter>
  <rowBreaks count="1" manualBreakCount="1">
    <brk id="71" max="1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Y84"/>
  <sheetViews>
    <sheetView zoomScaleNormal="100" workbookViewId="0">
      <selection activeCell="C36" sqref="B36:C36"/>
    </sheetView>
  </sheetViews>
  <sheetFormatPr defaultRowHeight="14.25"/>
  <cols>
    <col min="1" max="20" width="9" style="1"/>
    <col min="21" max="21" width="18.625" style="1" customWidth="1"/>
    <col min="22" max="16384" width="9" style="1"/>
  </cols>
  <sheetData>
    <row r="2" spans="1: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5">
      <c r="A3" s="127"/>
      <c r="B3" s="71"/>
      <c r="C3" s="71"/>
      <c r="D3" s="71"/>
      <c r="E3" s="71"/>
      <c r="F3" s="71"/>
      <c r="G3" s="71"/>
      <c r="H3" s="71"/>
      <c r="I3" s="560"/>
      <c r="J3" s="560"/>
      <c r="K3" s="71"/>
      <c r="L3" s="71"/>
      <c r="M3" s="71"/>
      <c r="N3" s="71"/>
      <c r="O3" s="71"/>
      <c r="P3" s="71"/>
      <c r="Q3" s="71"/>
      <c r="R3" s="71"/>
      <c r="S3" s="71"/>
      <c r="T3" s="17"/>
      <c r="U3" s="17"/>
      <c r="V3" s="17"/>
      <c r="W3" s="17"/>
      <c r="X3" s="17"/>
      <c r="Y3" s="17"/>
    </row>
    <row r="4" spans="1:25" ht="15">
      <c r="A4" s="127"/>
      <c r="B4" s="71"/>
      <c r="C4" s="71"/>
      <c r="D4" s="71"/>
      <c r="E4" s="71"/>
      <c r="F4" s="71"/>
      <c r="G4" s="71"/>
      <c r="H4" s="71"/>
      <c r="I4" s="195"/>
      <c r="J4" s="195"/>
      <c r="K4" s="71"/>
      <c r="L4" s="127"/>
      <c r="M4" s="71"/>
      <c r="N4" s="71"/>
      <c r="O4" s="71"/>
      <c r="P4" s="71"/>
      <c r="Q4" s="71"/>
      <c r="R4" s="71"/>
      <c r="S4" s="71"/>
      <c r="T4" s="17"/>
      <c r="U4" s="17"/>
      <c r="V4" s="17" t="s">
        <v>252</v>
      </c>
      <c r="W4" s="17" t="s">
        <v>252</v>
      </c>
      <c r="X4" s="17" t="s">
        <v>253</v>
      </c>
      <c r="Y4" s="17"/>
    </row>
    <row r="5" spans="1:25" ht="16.5">
      <c r="A5" s="127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17"/>
      <c r="U5" s="17"/>
      <c r="V5" s="1" t="s">
        <v>86</v>
      </c>
      <c r="W5" s="1" t="s">
        <v>258</v>
      </c>
      <c r="X5" s="1" t="s">
        <v>82</v>
      </c>
      <c r="Y5" s="17"/>
    </row>
    <row r="6" spans="1:25">
      <c r="A6" s="127"/>
      <c r="B6" s="11"/>
      <c r="C6" s="8"/>
      <c r="D6" s="127"/>
      <c r="E6" s="71"/>
      <c r="F6" s="19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17">
        <v>100</v>
      </c>
      <c r="U6" s="17" t="s">
        <v>139</v>
      </c>
      <c r="V6" s="17">
        <v>0</v>
      </c>
      <c r="W6" s="17">
        <v>0</v>
      </c>
      <c r="X6" s="17">
        <v>0</v>
      </c>
      <c r="Y6" s="17"/>
    </row>
    <row r="7" spans="1:25">
      <c r="A7" s="127"/>
      <c r="B7" s="11"/>
      <c r="C7" s="8"/>
      <c r="D7" s="127"/>
      <c r="E7" s="71"/>
      <c r="F7" s="197"/>
      <c r="G7" s="131"/>
      <c r="H7" s="131"/>
      <c r="I7" s="183"/>
      <c r="J7" s="184"/>
      <c r="K7" s="131"/>
      <c r="L7" s="185"/>
      <c r="M7" s="131"/>
      <c r="N7" s="185"/>
      <c r="O7" s="131"/>
      <c r="P7" s="183"/>
      <c r="Q7" s="131"/>
      <c r="R7" s="71"/>
      <c r="S7" s="71"/>
      <c r="T7" s="22">
        <v>101</v>
      </c>
      <c r="U7" s="21" t="s">
        <v>56</v>
      </c>
      <c r="V7" s="23">
        <v>21.24</v>
      </c>
      <c r="W7" s="23">
        <v>0</v>
      </c>
      <c r="X7" s="23">
        <v>93.54</v>
      </c>
      <c r="Y7" s="17"/>
    </row>
    <row r="8" spans="1:25">
      <c r="A8" s="127"/>
      <c r="B8" s="11"/>
      <c r="C8" s="8"/>
      <c r="D8" s="127"/>
      <c r="E8" s="71"/>
      <c r="F8" s="71"/>
      <c r="G8" s="131"/>
      <c r="H8" s="131"/>
      <c r="I8" s="183"/>
      <c r="J8" s="184"/>
      <c r="K8" s="131"/>
      <c r="L8" s="185"/>
      <c r="M8" s="131"/>
      <c r="N8" s="185"/>
      <c r="O8" s="131"/>
      <c r="P8" s="183"/>
      <c r="Q8" s="131"/>
      <c r="R8" s="71"/>
      <c r="S8" s="71"/>
      <c r="T8" s="22">
        <v>102</v>
      </c>
      <c r="U8" s="21" t="s">
        <v>55</v>
      </c>
      <c r="V8" s="23">
        <v>9.4700000000000006</v>
      </c>
      <c r="W8" s="23">
        <v>0</v>
      </c>
      <c r="X8" s="23">
        <v>105.95</v>
      </c>
      <c r="Y8" s="17"/>
    </row>
    <row r="9" spans="1:25">
      <c r="A9" s="127"/>
      <c r="B9" s="11"/>
      <c r="C9" s="8"/>
      <c r="D9" s="127"/>
      <c r="E9" s="71"/>
      <c r="F9" s="71"/>
      <c r="G9" s="131"/>
      <c r="H9" s="131"/>
      <c r="I9" s="183"/>
      <c r="J9" s="184"/>
      <c r="K9" s="131"/>
      <c r="L9" s="185"/>
      <c r="M9" s="131"/>
      <c r="N9" s="185"/>
      <c r="O9" s="131"/>
      <c r="P9" s="183"/>
      <c r="Q9" s="131"/>
      <c r="R9" s="71"/>
      <c r="S9" s="71"/>
      <c r="T9" s="22">
        <v>201</v>
      </c>
      <c r="U9" s="21" t="s">
        <v>56</v>
      </c>
      <c r="V9" s="23">
        <v>22.29</v>
      </c>
      <c r="W9" s="23">
        <v>0</v>
      </c>
      <c r="X9" s="23">
        <v>94.81</v>
      </c>
      <c r="Y9" s="17"/>
    </row>
    <row r="10" spans="1:25">
      <c r="A10" s="127"/>
      <c r="B10" s="11"/>
      <c r="C10" s="8"/>
      <c r="D10" s="127"/>
      <c r="E10" s="71"/>
      <c r="F10" s="71"/>
      <c r="G10" s="131"/>
      <c r="H10" s="131"/>
      <c r="I10" s="183"/>
      <c r="J10" s="184"/>
      <c r="K10" s="131"/>
      <c r="L10" s="185"/>
      <c r="M10" s="131"/>
      <c r="N10" s="185"/>
      <c r="O10" s="131"/>
      <c r="P10" s="183"/>
      <c r="Q10" s="131"/>
      <c r="R10" s="71"/>
      <c r="S10" s="71"/>
      <c r="T10" s="22">
        <v>301</v>
      </c>
      <c r="U10" s="21" t="s">
        <v>56</v>
      </c>
      <c r="V10" s="23">
        <v>21.33</v>
      </c>
      <c r="W10" s="23">
        <v>0</v>
      </c>
      <c r="X10" s="23">
        <v>95.05</v>
      </c>
      <c r="Y10" s="17"/>
    </row>
    <row r="11" spans="1:25">
      <c r="A11" s="127"/>
      <c r="B11" s="11"/>
      <c r="C11" s="8"/>
      <c r="D11" s="127"/>
      <c r="E11" s="71"/>
      <c r="F11" s="71"/>
      <c r="G11" s="131"/>
      <c r="H11" s="131"/>
      <c r="I11" s="183"/>
      <c r="J11" s="184"/>
      <c r="K11" s="131"/>
      <c r="L11" s="185"/>
      <c r="M11" s="131"/>
      <c r="N11" s="185"/>
      <c r="O11" s="131"/>
      <c r="P11" s="183"/>
      <c r="Q11" s="131"/>
      <c r="R11" s="71"/>
      <c r="S11" s="71"/>
      <c r="T11" s="22">
        <v>302</v>
      </c>
      <c r="U11" s="21" t="s">
        <v>55</v>
      </c>
      <c r="V11" s="23">
        <v>8.02</v>
      </c>
      <c r="W11" s="23">
        <v>0</v>
      </c>
      <c r="X11" s="23">
        <v>113.14</v>
      </c>
      <c r="Y11" s="17"/>
    </row>
    <row r="12" spans="1:25">
      <c r="A12" s="127"/>
      <c r="B12" s="11"/>
      <c r="C12" s="8"/>
      <c r="D12" s="127"/>
      <c r="E12" s="71"/>
      <c r="F12" s="71"/>
      <c r="G12" s="131"/>
      <c r="H12" s="131"/>
      <c r="I12" s="183"/>
      <c r="J12" s="184"/>
      <c r="K12" s="131"/>
      <c r="L12" s="185"/>
      <c r="M12" s="131"/>
      <c r="N12" s="185"/>
      <c r="O12" s="131"/>
      <c r="P12" s="183"/>
      <c r="Q12" s="131"/>
      <c r="R12" s="71"/>
      <c r="S12" s="71"/>
      <c r="T12" s="22">
        <v>401</v>
      </c>
      <c r="U12" s="21" t="s">
        <v>56</v>
      </c>
      <c r="V12" s="23">
        <v>29.59</v>
      </c>
      <c r="W12" s="23">
        <v>0</v>
      </c>
      <c r="X12" s="23">
        <v>93.49</v>
      </c>
      <c r="Y12" s="17"/>
    </row>
    <row r="13" spans="1:25">
      <c r="A13" s="127"/>
      <c r="B13" s="71"/>
      <c r="C13" s="71"/>
      <c r="D13" s="71"/>
      <c r="E13" s="71"/>
      <c r="F13" s="71"/>
      <c r="G13" s="131"/>
      <c r="H13" s="131"/>
      <c r="I13" s="183"/>
      <c r="J13" s="184"/>
      <c r="K13" s="131"/>
      <c r="L13" s="185"/>
      <c r="M13" s="131"/>
      <c r="N13" s="185"/>
      <c r="O13" s="131"/>
      <c r="P13" s="183"/>
      <c r="Q13" s="131"/>
      <c r="R13" s="71"/>
      <c r="S13" s="71"/>
      <c r="T13" s="22">
        <v>501</v>
      </c>
      <c r="U13" s="21" t="s">
        <v>56</v>
      </c>
      <c r="V13" s="23">
        <v>27.61</v>
      </c>
      <c r="W13" s="23">
        <v>0</v>
      </c>
      <c r="X13" s="23">
        <v>93.78</v>
      </c>
      <c r="Y13" s="17"/>
    </row>
    <row r="14" spans="1:25">
      <c r="A14" s="127"/>
      <c r="B14" s="71"/>
      <c r="C14" s="71"/>
      <c r="D14" s="71"/>
      <c r="E14" s="71"/>
      <c r="F14" s="71"/>
      <c r="G14" s="131"/>
      <c r="H14" s="131"/>
      <c r="I14" s="183"/>
      <c r="J14" s="184"/>
      <c r="K14" s="131"/>
      <c r="L14" s="185"/>
      <c r="M14" s="131"/>
      <c r="N14" s="185"/>
      <c r="O14" s="131"/>
      <c r="P14" s="183"/>
      <c r="Q14" s="131"/>
      <c r="R14" s="71"/>
      <c r="S14" s="71"/>
      <c r="T14" s="22">
        <v>601</v>
      </c>
      <c r="U14" s="21" t="s">
        <v>56</v>
      </c>
      <c r="V14" s="23">
        <v>23.97</v>
      </c>
      <c r="W14" s="23">
        <v>0</v>
      </c>
      <c r="X14" s="23">
        <v>94.43</v>
      </c>
      <c r="Y14" s="17"/>
    </row>
    <row r="15" spans="1:25" ht="26.25" customHeight="1">
      <c r="A15" s="127"/>
      <c r="B15" s="127"/>
      <c r="C15" s="561"/>
      <c r="D15" s="561"/>
      <c r="E15" s="561"/>
      <c r="F15" s="127"/>
      <c r="G15" s="133"/>
      <c r="H15" s="131"/>
      <c r="I15" s="183"/>
      <c r="J15" s="184"/>
      <c r="K15" s="131"/>
      <c r="L15" s="185"/>
      <c r="M15" s="131"/>
      <c r="N15" s="185"/>
      <c r="O15" s="131"/>
      <c r="P15" s="183"/>
      <c r="Q15" s="131"/>
      <c r="R15" s="71"/>
      <c r="S15" s="71"/>
      <c r="T15" s="22">
        <v>701</v>
      </c>
      <c r="U15" s="21" t="s">
        <v>56</v>
      </c>
      <c r="V15" s="23">
        <v>21.67</v>
      </c>
      <c r="W15" s="23">
        <v>0</v>
      </c>
      <c r="X15" s="23">
        <v>94.96</v>
      </c>
      <c r="Y15" s="17"/>
    </row>
    <row r="16" spans="1:25" ht="28.5" customHeight="1">
      <c r="A16" s="127"/>
      <c r="B16" s="127"/>
      <c r="C16" s="561"/>
      <c r="D16" s="561"/>
      <c r="E16" s="561"/>
      <c r="F16" s="127"/>
      <c r="G16" s="133"/>
      <c r="H16" s="131"/>
      <c r="I16" s="183"/>
      <c r="J16" s="184"/>
      <c r="K16" s="131"/>
      <c r="L16" s="185"/>
      <c r="M16" s="131"/>
      <c r="N16" s="185"/>
      <c r="O16" s="131"/>
      <c r="P16" s="183"/>
      <c r="Q16" s="131"/>
      <c r="R16" s="71"/>
      <c r="S16" s="71"/>
      <c r="T16" s="22">
        <v>801</v>
      </c>
      <c r="U16" s="21" t="s">
        <v>56</v>
      </c>
      <c r="V16" s="23">
        <v>22.81</v>
      </c>
      <c r="W16" s="23">
        <v>0</v>
      </c>
      <c r="X16" s="23">
        <v>94.69</v>
      </c>
      <c r="Y16" s="17"/>
    </row>
    <row r="17" spans="1:25">
      <c r="A17" s="127"/>
      <c r="B17" s="71"/>
      <c r="C17" s="71"/>
      <c r="D17" s="71"/>
      <c r="E17" s="71"/>
      <c r="F17" s="71"/>
      <c r="G17" s="131"/>
      <c r="H17" s="131"/>
      <c r="I17" s="183"/>
      <c r="J17" s="184"/>
      <c r="K17" s="131"/>
      <c r="L17" s="185"/>
      <c r="M17" s="131"/>
      <c r="N17" s="185"/>
      <c r="O17" s="131"/>
      <c r="P17" s="183"/>
      <c r="Q17" s="131"/>
      <c r="R17" s="71"/>
      <c r="S17" s="71"/>
      <c r="T17" s="22">
        <v>901</v>
      </c>
      <c r="U17" s="21" t="s">
        <v>56</v>
      </c>
      <c r="V17" s="23">
        <v>23.48</v>
      </c>
      <c r="W17" s="23">
        <v>0</v>
      </c>
      <c r="X17" s="23">
        <v>94.54</v>
      </c>
      <c r="Y17" s="17"/>
    </row>
    <row r="18" spans="1:25">
      <c r="A18" s="127"/>
      <c r="B18" s="71"/>
      <c r="C18" s="71"/>
      <c r="D18" s="71"/>
      <c r="E18" s="71"/>
      <c r="F18" s="71"/>
      <c r="G18" s="131"/>
      <c r="H18" s="131"/>
      <c r="I18" s="183"/>
      <c r="J18" s="184"/>
      <c r="K18" s="131"/>
      <c r="L18" s="185"/>
      <c r="M18" s="131"/>
      <c r="N18" s="185"/>
      <c r="O18" s="131"/>
      <c r="P18" s="183"/>
      <c r="Q18" s="131"/>
      <c r="R18" s="71"/>
      <c r="S18" s="71"/>
      <c r="T18" s="22">
        <v>1001</v>
      </c>
      <c r="U18" s="21" t="s">
        <v>56</v>
      </c>
      <c r="V18" s="23">
        <v>25.55</v>
      </c>
      <c r="W18" s="23">
        <v>0</v>
      </c>
      <c r="X18" s="23">
        <v>94.13</v>
      </c>
      <c r="Y18" s="17"/>
    </row>
    <row r="19" spans="1:25">
      <c r="A19" s="127"/>
      <c r="B19" s="71"/>
      <c r="C19" s="71"/>
      <c r="D19" s="71"/>
      <c r="E19" s="71"/>
      <c r="F19" s="71"/>
      <c r="G19" s="131"/>
      <c r="H19" s="131"/>
      <c r="I19" s="183"/>
      <c r="J19" s="184"/>
      <c r="K19" s="131"/>
      <c r="L19" s="185"/>
      <c r="M19" s="131"/>
      <c r="N19" s="185"/>
      <c r="O19" s="131"/>
      <c r="P19" s="183"/>
      <c r="Q19" s="131"/>
      <c r="R19" s="71"/>
      <c r="S19" s="71"/>
      <c r="T19" s="22">
        <v>1002</v>
      </c>
      <c r="U19" s="21" t="s">
        <v>55</v>
      </c>
      <c r="V19" s="23">
        <v>8.14</v>
      </c>
      <c r="W19" s="23">
        <v>0</v>
      </c>
      <c r="X19" s="23">
        <v>110.67</v>
      </c>
      <c r="Y19" s="17"/>
    </row>
    <row r="20" spans="1:25">
      <c r="A20" s="127"/>
      <c r="B20" s="71"/>
      <c r="C20" s="71"/>
      <c r="D20" s="71"/>
      <c r="E20" s="71"/>
      <c r="F20" s="71"/>
      <c r="G20" s="131"/>
      <c r="H20" s="131"/>
      <c r="I20" s="183"/>
      <c r="J20" s="184"/>
      <c r="K20" s="131"/>
      <c r="L20" s="185"/>
      <c r="M20" s="131"/>
      <c r="N20" s="185"/>
      <c r="O20" s="131"/>
      <c r="P20" s="183"/>
      <c r="Q20" s="131"/>
      <c r="R20" s="71"/>
      <c r="S20" s="71"/>
      <c r="T20" s="22">
        <v>1101</v>
      </c>
      <c r="U20" s="21" t="s">
        <v>56</v>
      </c>
      <c r="V20" s="23">
        <v>23.48</v>
      </c>
      <c r="W20" s="23">
        <v>0</v>
      </c>
      <c r="X20" s="23">
        <v>94.54</v>
      </c>
      <c r="Y20" s="17"/>
    </row>
    <row r="21" spans="1:25" ht="15">
      <c r="A21" s="127"/>
      <c r="B21" s="71"/>
      <c r="C21" s="195"/>
      <c r="D21" s="71"/>
      <c r="E21" s="195"/>
      <c r="F21" s="71"/>
      <c r="G21" s="131"/>
      <c r="H21" s="131"/>
      <c r="I21" s="183"/>
      <c r="J21" s="184"/>
      <c r="K21" s="131"/>
      <c r="L21" s="185"/>
      <c r="M21" s="131"/>
      <c r="N21" s="185"/>
      <c r="O21" s="131"/>
      <c r="P21" s="183"/>
      <c r="Q21" s="131"/>
      <c r="R21" s="71"/>
      <c r="S21" s="71"/>
      <c r="T21" s="22">
        <v>1102</v>
      </c>
      <c r="U21" s="21" t="s">
        <v>55</v>
      </c>
      <c r="V21" s="23">
        <v>8.1</v>
      </c>
      <c r="W21" s="23">
        <v>0</v>
      </c>
      <c r="X21" s="23">
        <v>110.61</v>
      </c>
      <c r="Y21" s="17"/>
    </row>
    <row r="22" spans="1:25">
      <c r="A22" s="127"/>
      <c r="B22" s="71"/>
      <c r="C22" s="71"/>
      <c r="D22" s="71"/>
      <c r="E22" s="71"/>
      <c r="F22" s="71"/>
      <c r="G22" s="131"/>
      <c r="H22" s="131"/>
      <c r="I22" s="131"/>
      <c r="J22" s="131"/>
      <c r="K22" s="131"/>
      <c r="L22" s="131"/>
      <c r="M22" s="131"/>
      <c r="N22" s="131"/>
      <c r="O22" s="131"/>
      <c r="P22" s="183"/>
      <c r="Q22" s="131"/>
      <c r="R22" s="71"/>
      <c r="S22" s="71"/>
      <c r="T22" s="22">
        <v>1201</v>
      </c>
      <c r="U22" s="21" t="s">
        <v>56</v>
      </c>
      <c r="V22" s="23">
        <v>25.8</v>
      </c>
      <c r="W22" s="23">
        <v>0</v>
      </c>
      <c r="X22" s="23">
        <v>94.08</v>
      </c>
      <c r="Y22" s="17"/>
    </row>
    <row r="23" spans="1:25" ht="15">
      <c r="A23" s="127"/>
      <c r="B23" s="71"/>
      <c r="C23" s="71"/>
      <c r="D23" s="71"/>
      <c r="E23" s="71"/>
      <c r="F23" s="71"/>
      <c r="G23" s="131"/>
      <c r="H23" s="131"/>
      <c r="I23" s="132"/>
      <c r="J23" s="131"/>
      <c r="K23" s="132"/>
      <c r="L23" s="131"/>
      <c r="M23" s="131"/>
      <c r="N23" s="131"/>
      <c r="O23" s="131"/>
      <c r="P23" s="183"/>
      <c r="Q23" s="131"/>
      <c r="R23" s="71"/>
      <c r="S23" s="71"/>
      <c r="T23" s="22">
        <v>1202</v>
      </c>
      <c r="U23" s="21" t="s">
        <v>55</v>
      </c>
      <c r="V23" s="23">
        <v>10</v>
      </c>
      <c r="W23" s="23">
        <v>0</v>
      </c>
      <c r="X23" s="23">
        <v>102.98</v>
      </c>
      <c r="Y23" s="17"/>
    </row>
    <row r="24" spans="1:25">
      <c r="A24" s="127"/>
      <c r="B24" s="71"/>
      <c r="C24" s="71"/>
      <c r="D24" s="71"/>
      <c r="E24" s="71"/>
      <c r="F24" s="71"/>
      <c r="G24" s="131"/>
      <c r="H24" s="131"/>
      <c r="I24" s="131"/>
      <c r="J24" s="131"/>
      <c r="K24" s="131"/>
      <c r="L24" s="131"/>
      <c r="M24" s="131"/>
      <c r="N24" s="131"/>
      <c r="O24" s="131"/>
      <c r="P24" s="183"/>
      <c r="Q24" s="131"/>
      <c r="R24" s="71"/>
      <c r="S24" s="71"/>
      <c r="T24" s="22">
        <v>1301</v>
      </c>
      <c r="U24" s="21" t="s">
        <v>56</v>
      </c>
      <c r="V24" s="238">
        <v>26</v>
      </c>
      <c r="W24" s="238">
        <v>0</v>
      </c>
      <c r="X24" s="238">
        <v>94.05</v>
      </c>
      <c r="Y24" s="17"/>
    </row>
    <row r="25" spans="1:25">
      <c r="A25" s="127"/>
      <c r="B25" s="71"/>
      <c r="C25" s="71"/>
      <c r="D25" s="71"/>
      <c r="E25" s="71"/>
      <c r="F25" s="71"/>
      <c r="G25" s="131"/>
      <c r="H25" s="133"/>
      <c r="I25" s="131"/>
      <c r="J25" s="131"/>
      <c r="K25" s="131"/>
      <c r="L25" s="131"/>
      <c r="M25" s="131"/>
      <c r="N25" s="131"/>
      <c r="O25" s="131"/>
      <c r="P25" s="183"/>
      <c r="Q25" s="131"/>
      <c r="R25" s="71"/>
      <c r="S25" s="71"/>
      <c r="T25" s="22">
        <v>1302</v>
      </c>
      <c r="U25" s="21" t="s">
        <v>55</v>
      </c>
      <c r="V25" s="238">
        <v>8.14</v>
      </c>
      <c r="W25" s="238">
        <v>0</v>
      </c>
      <c r="X25" s="238">
        <v>110.67</v>
      </c>
      <c r="Y25" s="17"/>
    </row>
    <row r="26" spans="1:25">
      <c r="A26" s="127"/>
      <c r="B26" s="71"/>
      <c r="C26" s="71"/>
      <c r="D26" s="71"/>
      <c r="E26" s="71"/>
      <c r="F26" s="71"/>
      <c r="G26" s="131"/>
      <c r="H26" s="133"/>
      <c r="I26" s="131"/>
      <c r="J26" s="131"/>
      <c r="K26" s="131"/>
      <c r="L26" s="131"/>
      <c r="M26" s="131"/>
      <c r="N26" s="131"/>
      <c r="O26" s="131"/>
      <c r="P26" s="183"/>
      <c r="Q26" s="131"/>
      <c r="R26" s="71"/>
      <c r="S26" s="71"/>
      <c r="T26" s="22">
        <v>1401</v>
      </c>
      <c r="U26" s="21" t="s">
        <v>84</v>
      </c>
      <c r="V26" s="23">
        <v>48</v>
      </c>
      <c r="W26" s="23">
        <v>0</v>
      </c>
      <c r="X26" s="23">
        <v>55.42</v>
      </c>
      <c r="Y26" s="17"/>
    </row>
    <row r="27" spans="1:25">
      <c r="A27" s="127"/>
      <c r="B27" s="71"/>
      <c r="C27" s="71"/>
      <c r="D27" s="71"/>
      <c r="E27" s="71"/>
      <c r="F27" s="71"/>
      <c r="G27" s="131"/>
      <c r="H27" s="131"/>
      <c r="I27" s="131"/>
      <c r="J27" s="131"/>
      <c r="K27" s="131"/>
      <c r="L27" s="131"/>
      <c r="M27" s="131"/>
      <c r="N27" s="131"/>
      <c r="O27" s="131"/>
      <c r="P27" s="183"/>
      <c r="Q27" s="131"/>
      <c r="R27" s="71"/>
      <c r="S27" s="71"/>
      <c r="T27" s="22">
        <v>1402</v>
      </c>
      <c r="U27" s="21" t="s">
        <v>83</v>
      </c>
      <c r="V27" s="23">
        <v>0</v>
      </c>
      <c r="W27" s="23">
        <v>36.54</v>
      </c>
      <c r="X27" s="23">
        <v>55.42</v>
      </c>
      <c r="Y27" s="17"/>
    </row>
    <row r="28" spans="1:25">
      <c r="A28" s="127"/>
      <c r="B28" s="71"/>
      <c r="C28" s="71"/>
      <c r="D28" s="71"/>
      <c r="E28" s="71"/>
      <c r="F28" s="71"/>
      <c r="G28" s="131"/>
      <c r="H28" s="131"/>
      <c r="I28" s="131"/>
      <c r="J28" s="131"/>
      <c r="K28" s="131"/>
      <c r="L28" s="131"/>
      <c r="M28" s="131"/>
      <c r="N28" s="131"/>
      <c r="O28" s="131"/>
      <c r="P28" s="183"/>
      <c r="Q28" s="131"/>
      <c r="R28" s="71"/>
      <c r="S28" s="71"/>
      <c r="T28" s="22">
        <v>1403</v>
      </c>
      <c r="U28" s="21" t="s">
        <v>81</v>
      </c>
      <c r="V28" s="23">
        <v>0</v>
      </c>
      <c r="W28" s="23">
        <v>25.8</v>
      </c>
      <c r="X28" s="23">
        <v>55.42</v>
      </c>
      <c r="Y28" s="17"/>
    </row>
    <row r="29" spans="1:25">
      <c r="A29" s="127"/>
      <c r="B29" s="71"/>
      <c r="C29" s="71"/>
      <c r="D29" s="71"/>
      <c r="E29" s="71"/>
      <c r="F29" s="71"/>
      <c r="G29" s="131"/>
      <c r="H29" s="131"/>
      <c r="I29" s="131"/>
      <c r="J29" s="131"/>
      <c r="K29" s="131"/>
      <c r="L29" s="131"/>
      <c r="M29" s="131"/>
      <c r="N29" s="131"/>
      <c r="O29" s="131"/>
      <c r="P29" s="183"/>
      <c r="Q29" s="131"/>
      <c r="R29" s="71"/>
      <c r="S29" s="71"/>
      <c r="T29" s="22">
        <v>1404</v>
      </c>
      <c r="U29" s="21" t="s">
        <v>80</v>
      </c>
      <c r="V29" s="23">
        <v>0</v>
      </c>
      <c r="W29" s="23">
        <v>19.059999999999999</v>
      </c>
      <c r="X29" s="23">
        <v>55.42</v>
      </c>
      <c r="Y29" s="17"/>
    </row>
    <row r="30" spans="1:25">
      <c r="A30" s="127"/>
      <c r="B30" s="71"/>
      <c r="C30" s="71"/>
      <c r="D30" s="71"/>
      <c r="E30" s="71"/>
      <c r="F30" s="71"/>
      <c r="G30" s="131"/>
      <c r="H30" s="131"/>
      <c r="I30" s="131"/>
      <c r="J30" s="131"/>
      <c r="K30" s="131"/>
      <c r="L30" s="131"/>
      <c r="M30" s="131"/>
      <c r="N30" s="131"/>
      <c r="O30" s="131"/>
      <c r="P30" s="183"/>
      <c r="Q30" s="131"/>
      <c r="R30" s="71"/>
      <c r="S30" s="71"/>
      <c r="T30" s="22">
        <v>1405</v>
      </c>
      <c r="U30" s="21" t="s">
        <v>366</v>
      </c>
      <c r="V30" s="23">
        <v>40.4</v>
      </c>
      <c r="W30" s="23">
        <v>0</v>
      </c>
      <c r="X30" s="23">
        <v>77.400000000000006</v>
      </c>
      <c r="Y30" s="17"/>
    </row>
    <row r="31" spans="1:25">
      <c r="A31" s="127"/>
      <c r="B31" s="71"/>
      <c r="C31" s="71"/>
      <c r="D31" s="71"/>
      <c r="E31" s="71"/>
      <c r="F31" s="71"/>
      <c r="G31" s="131"/>
      <c r="H31" s="131"/>
      <c r="I31" s="131"/>
      <c r="J31" s="131"/>
      <c r="K31" s="131"/>
      <c r="L31" s="131"/>
      <c r="M31" s="131"/>
      <c r="N31" s="131"/>
      <c r="O31" s="131"/>
      <c r="P31" s="183"/>
      <c r="Q31" s="131"/>
      <c r="R31" s="71"/>
      <c r="S31" s="71"/>
      <c r="T31" s="22">
        <v>1501</v>
      </c>
      <c r="U31" s="21" t="s">
        <v>84</v>
      </c>
      <c r="V31" s="23">
        <v>48</v>
      </c>
      <c r="W31" s="23">
        <v>0</v>
      </c>
      <c r="X31" s="23">
        <v>55.35</v>
      </c>
      <c r="Y31" s="17"/>
    </row>
    <row r="32" spans="1:25">
      <c r="A32" s="127"/>
      <c r="B32" s="71"/>
      <c r="C32" s="71"/>
      <c r="D32" s="71"/>
      <c r="E32" s="71"/>
      <c r="F32" s="71"/>
      <c r="G32" s="131"/>
      <c r="H32" s="131"/>
      <c r="I32" s="131"/>
      <c r="J32" s="131"/>
      <c r="K32" s="131"/>
      <c r="L32" s="131"/>
      <c r="M32" s="131"/>
      <c r="N32" s="131"/>
      <c r="O32" s="131"/>
      <c r="P32" s="183"/>
      <c r="Q32" s="131"/>
      <c r="R32" s="71"/>
      <c r="S32" s="71"/>
      <c r="T32" s="22">
        <v>1502</v>
      </c>
      <c r="U32" s="21" t="s">
        <v>83</v>
      </c>
      <c r="V32" s="23">
        <v>0</v>
      </c>
      <c r="W32" s="23">
        <v>36.54</v>
      </c>
      <c r="X32" s="23">
        <v>55.35</v>
      </c>
      <c r="Y32" s="17"/>
    </row>
    <row r="33" spans="1:25">
      <c r="A33" s="127"/>
      <c r="B33" s="71"/>
      <c r="C33" s="71"/>
      <c r="D33" s="71"/>
      <c r="E33" s="71"/>
      <c r="F33" s="71"/>
      <c r="G33" s="131"/>
      <c r="H33" s="131"/>
      <c r="I33" s="131"/>
      <c r="J33" s="131"/>
      <c r="K33" s="131"/>
      <c r="L33" s="131"/>
      <c r="M33" s="131"/>
      <c r="N33" s="131"/>
      <c r="O33" s="131"/>
      <c r="P33" s="183"/>
      <c r="Q33" s="131"/>
      <c r="R33" s="71"/>
      <c r="S33" s="71"/>
      <c r="T33" s="22">
        <v>1503</v>
      </c>
      <c r="U33" s="21" t="s">
        <v>81</v>
      </c>
      <c r="V33" s="23">
        <v>0</v>
      </c>
      <c r="W33" s="23">
        <v>25.8</v>
      </c>
      <c r="X33" s="23">
        <v>55.35</v>
      </c>
      <c r="Y33" s="17"/>
    </row>
    <row r="34" spans="1:25">
      <c r="A34" s="127"/>
      <c r="B34" s="71"/>
      <c r="C34" s="71"/>
      <c r="D34" s="71"/>
      <c r="E34" s="71"/>
      <c r="F34" s="71"/>
      <c r="G34" s="131"/>
      <c r="H34" s="131"/>
      <c r="I34" s="131"/>
      <c r="J34" s="131"/>
      <c r="K34" s="131"/>
      <c r="L34" s="131"/>
      <c r="M34" s="131"/>
      <c r="N34" s="131"/>
      <c r="O34" s="131"/>
      <c r="P34" s="183"/>
      <c r="Q34" s="131"/>
      <c r="R34" s="71"/>
      <c r="S34" s="71"/>
      <c r="T34" s="22">
        <v>1504</v>
      </c>
      <c r="U34" s="21" t="s">
        <v>80</v>
      </c>
      <c r="V34" s="23">
        <v>0</v>
      </c>
      <c r="W34" s="23">
        <v>19.059999999999999</v>
      </c>
      <c r="X34" s="23">
        <v>55.35</v>
      </c>
      <c r="Y34" s="17"/>
    </row>
    <row r="35" spans="1:25">
      <c r="A35" s="127"/>
      <c r="B35" s="71"/>
      <c r="C35" s="71"/>
      <c r="D35" s="71"/>
      <c r="E35" s="71"/>
      <c r="F35" s="71"/>
      <c r="G35" s="131"/>
      <c r="H35" s="131"/>
      <c r="I35" s="131"/>
      <c r="J35" s="131"/>
      <c r="K35" s="131"/>
      <c r="L35" s="131"/>
      <c r="M35" s="131"/>
      <c r="N35" s="131"/>
      <c r="O35" s="131"/>
      <c r="P35" s="183"/>
      <c r="Q35" s="131"/>
      <c r="R35" s="71"/>
      <c r="S35" s="71"/>
      <c r="T35" s="22">
        <v>1505</v>
      </c>
      <c r="U35" s="21" t="s">
        <v>366</v>
      </c>
      <c r="V35" s="23">
        <v>40.4</v>
      </c>
      <c r="W35" s="23">
        <v>0</v>
      </c>
      <c r="X35" s="23">
        <v>77.400000000000006</v>
      </c>
      <c r="Y35" s="17"/>
    </row>
    <row r="36" spans="1:25">
      <c r="A36" s="127"/>
      <c r="B36" s="71"/>
      <c r="C36" s="71"/>
      <c r="D36" s="71"/>
      <c r="E36" s="71"/>
      <c r="F36" s="71"/>
      <c r="G36" s="131"/>
      <c r="H36" s="131"/>
      <c r="I36" s="131"/>
      <c r="J36" s="131"/>
      <c r="K36" s="131"/>
      <c r="L36" s="131"/>
      <c r="M36" s="131"/>
      <c r="N36" s="131"/>
      <c r="O36" s="131"/>
      <c r="P36" s="183"/>
      <c r="Q36" s="131"/>
      <c r="R36" s="71"/>
      <c r="S36" s="71"/>
      <c r="T36" s="22">
        <v>1601</v>
      </c>
      <c r="U36" s="21" t="s">
        <v>88</v>
      </c>
      <c r="V36" s="23">
        <v>20.7</v>
      </c>
      <c r="W36" s="23">
        <v>0</v>
      </c>
      <c r="X36" s="23">
        <v>97.5</v>
      </c>
      <c r="Y36" s="17"/>
    </row>
    <row r="37" spans="1:25">
      <c r="A37" s="127"/>
      <c r="B37" s="71"/>
      <c r="C37" s="71"/>
      <c r="D37" s="71"/>
      <c r="E37" s="71"/>
      <c r="F37" s="71"/>
      <c r="G37" s="131"/>
      <c r="H37" s="131"/>
      <c r="I37" s="131"/>
      <c r="J37" s="131"/>
      <c r="K37" s="131"/>
      <c r="L37" s="131"/>
      <c r="M37" s="131"/>
      <c r="N37" s="131"/>
      <c r="O37" s="131"/>
      <c r="P37" s="183"/>
      <c r="Q37" s="131"/>
      <c r="R37" s="71"/>
      <c r="S37" s="71"/>
      <c r="T37" s="22">
        <v>1602</v>
      </c>
      <c r="U37" s="21" t="s">
        <v>87</v>
      </c>
      <c r="V37" s="23">
        <v>20.7</v>
      </c>
      <c r="W37" s="23">
        <v>0</v>
      </c>
      <c r="X37" s="23">
        <v>97.5</v>
      </c>
      <c r="Y37" s="17"/>
    </row>
    <row r="38" spans="1:25">
      <c r="A38" s="127"/>
      <c r="B38" s="71"/>
      <c r="C38" s="71"/>
      <c r="D38" s="71"/>
      <c r="E38" s="71"/>
      <c r="F38" s="71"/>
      <c r="G38" s="131"/>
      <c r="H38" s="131"/>
      <c r="I38" s="131"/>
      <c r="J38" s="131"/>
      <c r="K38" s="131"/>
      <c r="L38" s="131"/>
      <c r="M38" s="131"/>
      <c r="N38" s="131"/>
      <c r="O38" s="131"/>
      <c r="P38" s="183"/>
      <c r="Q38" s="131"/>
      <c r="R38" s="71"/>
      <c r="S38" s="71"/>
      <c r="T38" s="22">
        <v>1603</v>
      </c>
      <c r="U38" s="21" t="s">
        <v>85</v>
      </c>
      <c r="V38" s="23">
        <v>42.3</v>
      </c>
      <c r="W38" s="23">
        <v>0</v>
      </c>
      <c r="X38" s="23">
        <v>73.3</v>
      </c>
      <c r="Y38" s="17"/>
    </row>
    <row r="39" spans="1:25">
      <c r="A39" s="127"/>
      <c r="B39" s="71"/>
      <c r="C39" s="71"/>
      <c r="D39" s="71"/>
      <c r="E39" s="71"/>
      <c r="F39" s="71"/>
      <c r="G39" s="131"/>
      <c r="H39" s="131"/>
      <c r="I39" s="131"/>
      <c r="J39" s="131"/>
      <c r="K39" s="131"/>
      <c r="L39" s="131"/>
      <c r="M39" s="131"/>
      <c r="N39" s="131"/>
      <c r="O39" s="131"/>
      <c r="P39" s="183"/>
      <c r="Q39" s="131"/>
      <c r="R39" s="71"/>
      <c r="S39" s="71"/>
      <c r="T39" s="22">
        <v>1604</v>
      </c>
      <c r="U39" s="21" t="s">
        <v>157</v>
      </c>
      <c r="V39" s="23">
        <v>15.6</v>
      </c>
      <c r="W39" s="23">
        <v>0</v>
      </c>
      <c r="X39" s="215">
        <v>0</v>
      </c>
      <c r="Y39" s="17" t="s">
        <v>378</v>
      </c>
    </row>
    <row r="40" spans="1:25">
      <c r="A40" s="127"/>
      <c r="B40" s="71"/>
      <c r="C40" s="71"/>
      <c r="D40" s="71"/>
      <c r="E40" s="71"/>
      <c r="F40" s="71"/>
      <c r="G40" s="131"/>
      <c r="H40" s="131"/>
      <c r="I40" s="131"/>
      <c r="J40" s="131"/>
      <c r="K40" s="131"/>
      <c r="L40" s="131"/>
      <c r="M40" s="131"/>
      <c r="N40" s="131"/>
      <c r="O40" s="131"/>
      <c r="P40" s="133"/>
      <c r="Q40" s="133"/>
      <c r="R40" s="127"/>
      <c r="S40" s="71"/>
      <c r="T40" s="22">
        <v>1605</v>
      </c>
      <c r="U40" s="21" t="s">
        <v>79</v>
      </c>
      <c r="V40" s="23">
        <v>50.4</v>
      </c>
      <c r="W40" s="23">
        <v>0</v>
      </c>
      <c r="X40" s="23">
        <v>54.6</v>
      </c>
      <c r="Y40" s="17"/>
    </row>
    <row r="41" spans="1:25">
      <c r="A41" s="127"/>
      <c r="B41" s="71"/>
      <c r="C41" s="71"/>
      <c r="D41" s="71"/>
      <c r="E41" s="71"/>
      <c r="F41" s="71"/>
      <c r="G41" s="131"/>
      <c r="H41" s="131"/>
      <c r="I41" s="131"/>
      <c r="J41" s="131"/>
      <c r="K41" s="131"/>
      <c r="L41" s="131"/>
      <c r="M41" s="131"/>
      <c r="N41" s="131"/>
      <c r="O41" s="131"/>
      <c r="P41" s="183"/>
      <c r="Q41" s="131"/>
      <c r="R41" s="127"/>
      <c r="S41" s="71"/>
      <c r="T41" s="22">
        <v>1606</v>
      </c>
      <c r="U41" s="21" t="s">
        <v>78</v>
      </c>
      <c r="V41" s="23">
        <v>0</v>
      </c>
      <c r="W41" s="23">
        <v>0</v>
      </c>
      <c r="X41" s="23">
        <v>143</v>
      </c>
      <c r="Y41" s="17"/>
    </row>
    <row r="42" spans="1:25">
      <c r="A42" s="127"/>
      <c r="B42" s="71"/>
      <c r="C42" s="71"/>
      <c r="D42" s="71"/>
      <c r="E42" s="71"/>
      <c r="F42" s="71"/>
      <c r="G42" s="131"/>
      <c r="H42" s="131"/>
      <c r="I42" s="131"/>
      <c r="J42" s="131"/>
      <c r="K42" s="131"/>
      <c r="L42" s="131"/>
      <c r="M42" s="131"/>
      <c r="N42" s="131"/>
      <c r="O42" s="131"/>
      <c r="P42" s="183"/>
      <c r="Q42" s="131"/>
      <c r="R42" s="71"/>
      <c r="S42" s="71"/>
      <c r="T42" s="22">
        <v>1607</v>
      </c>
      <c r="U42" s="21" t="s">
        <v>156</v>
      </c>
      <c r="V42" s="23">
        <v>10</v>
      </c>
      <c r="W42" s="23">
        <v>0</v>
      </c>
      <c r="X42" s="23">
        <v>91.7</v>
      </c>
      <c r="Y42" s="17"/>
    </row>
    <row r="43" spans="1:25">
      <c r="A43" s="127"/>
      <c r="B43" s="71"/>
      <c r="C43" s="71"/>
      <c r="D43" s="71"/>
      <c r="E43" s="71"/>
      <c r="F43" s="7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71"/>
      <c r="S43" s="71"/>
      <c r="T43" s="22">
        <v>1608</v>
      </c>
      <c r="U43" s="21" t="s">
        <v>74</v>
      </c>
      <c r="V43" s="23">
        <v>11.6</v>
      </c>
      <c r="W43" s="23">
        <v>0</v>
      </c>
      <c r="X43" s="23">
        <v>100</v>
      </c>
      <c r="Y43" s="17"/>
    </row>
    <row r="44" spans="1:25">
      <c r="A44" s="127"/>
      <c r="B44" s="71"/>
      <c r="C44" s="71"/>
      <c r="D44" s="71"/>
      <c r="E44" s="71"/>
      <c r="F44" s="7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71"/>
      <c r="S44" s="71"/>
      <c r="T44" s="22">
        <v>1609</v>
      </c>
      <c r="U44" s="21" t="s">
        <v>71</v>
      </c>
      <c r="V44" s="23">
        <v>40.200000000000003</v>
      </c>
      <c r="W44" s="23">
        <v>0</v>
      </c>
      <c r="X44" s="23">
        <v>73.3</v>
      </c>
      <c r="Y44" s="17"/>
    </row>
    <row r="45" spans="1:25">
      <c r="A45" s="127"/>
      <c r="B45" s="71"/>
      <c r="C45" s="71"/>
      <c r="D45" s="71"/>
      <c r="E45" s="71"/>
      <c r="F45" s="7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71"/>
      <c r="S45" s="71"/>
      <c r="T45" s="22">
        <v>1610</v>
      </c>
      <c r="U45" s="21" t="s">
        <v>68</v>
      </c>
      <c r="V45" s="23">
        <v>32.5</v>
      </c>
      <c r="W45" s="23">
        <v>0</v>
      </c>
      <c r="X45" s="23">
        <v>97.5</v>
      </c>
      <c r="Y45" s="17"/>
    </row>
    <row r="46" spans="1:25">
      <c r="A46" s="127"/>
      <c r="B46" s="71"/>
      <c r="C46" s="71"/>
      <c r="D46" s="71"/>
      <c r="E46" s="71"/>
      <c r="F46" s="7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71"/>
      <c r="S46" s="71"/>
      <c r="T46" s="22">
        <v>1611</v>
      </c>
      <c r="U46" s="21" t="s">
        <v>67</v>
      </c>
      <c r="V46" s="23">
        <v>28.2</v>
      </c>
      <c r="W46" s="23">
        <v>0</v>
      </c>
      <c r="X46" s="23">
        <v>107</v>
      </c>
      <c r="Y46" s="17"/>
    </row>
    <row r="47" spans="1:25">
      <c r="A47" s="127"/>
      <c r="B47" s="71"/>
      <c r="C47" s="71"/>
      <c r="D47" s="71"/>
      <c r="E47" s="71"/>
      <c r="F47" s="7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71"/>
      <c r="S47" s="71"/>
      <c r="T47" s="22">
        <v>1612</v>
      </c>
      <c r="U47" s="21" t="s">
        <v>66</v>
      </c>
      <c r="V47" s="23">
        <v>47.3</v>
      </c>
      <c r="W47" s="23">
        <v>0</v>
      </c>
      <c r="X47" s="23">
        <v>63.1</v>
      </c>
      <c r="Y47" s="17"/>
    </row>
    <row r="48" spans="1:25">
      <c r="A48" s="127"/>
      <c r="B48" s="71"/>
      <c r="C48" s="71"/>
      <c r="D48" s="71"/>
      <c r="E48" s="71"/>
      <c r="F48" s="7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71"/>
      <c r="S48" s="71"/>
      <c r="T48" s="22">
        <v>1613</v>
      </c>
      <c r="U48" s="21" t="s">
        <v>65</v>
      </c>
      <c r="V48" s="23">
        <v>44.3</v>
      </c>
      <c r="W48" s="23">
        <v>0</v>
      </c>
      <c r="X48" s="23">
        <v>69.3</v>
      </c>
      <c r="Y48" s="17"/>
    </row>
    <row r="49" spans="1:25">
      <c r="A49" s="127"/>
      <c r="B49" s="71"/>
      <c r="C49" s="71"/>
      <c r="D49" s="71"/>
      <c r="E49" s="71"/>
      <c r="F49" s="7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71"/>
      <c r="S49" s="71"/>
      <c r="T49" s="22">
        <v>1614</v>
      </c>
      <c r="U49" s="21" t="s">
        <v>64</v>
      </c>
      <c r="V49" s="23">
        <v>44.3</v>
      </c>
      <c r="W49" s="23">
        <v>0</v>
      </c>
      <c r="X49" s="23">
        <v>70</v>
      </c>
      <c r="Y49" s="17"/>
    </row>
    <row r="50" spans="1:25">
      <c r="A50" s="127"/>
      <c r="B50" s="71"/>
      <c r="C50" s="71"/>
      <c r="D50" s="71"/>
      <c r="E50" s="71"/>
      <c r="F50" s="7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71"/>
      <c r="S50" s="71"/>
      <c r="T50" s="22">
        <v>1615</v>
      </c>
      <c r="U50" s="21" t="s">
        <v>63</v>
      </c>
      <c r="V50" s="23">
        <v>44.3</v>
      </c>
      <c r="W50" s="23">
        <v>0</v>
      </c>
      <c r="X50" s="23">
        <v>71.5</v>
      </c>
      <c r="Y50" s="17"/>
    </row>
    <row r="51" spans="1:25">
      <c r="A51" s="127"/>
      <c r="B51" s="71"/>
      <c r="C51" s="71"/>
      <c r="D51" s="71"/>
      <c r="E51" s="71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71"/>
      <c r="S51" s="71"/>
      <c r="T51" s="22">
        <v>1616</v>
      </c>
      <c r="U51" s="21" t="s">
        <v>62</v>
      </c>
      <c r="V51" s="23">
        <v>43</v>
      </c>
      <c r="W51" s="23">
        <v>0</v>
      </c>
      <c r="X51" s="23">
        <v>74.099999999999994</v>
      </c>
      <c r="Y51" s="17"/>
    </row>
    <row r="52" spans="1:25">
      <c r="A52" s="127"/>
      <c r="B52" s="71"/>
      <c r="C52" s="71"/>
      <c r="D52" s="71"/>
      <c r="E52" s="71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71"/>
      <c r="S52" s="71"/>
      <c r="T52" s="22">
        <v>1617</v>
      </c>
      <c r="U52" s="21" t="s">
        <v>60</v>
      </c>
      <c r="V52" s="23">
        <v>44.8</v>
      </c>
      <c r="W52" s="23">
        <v>0</v>
      </c>
      <c r="X52" s="23">
        <v>73.3</v>
      </c>
      <c r="Y52" s="17"/>
    </row>
    <row r="53" spans="1:25">
      <c r="A53" s="127"/>
      <c r="B53" s="71"/>
      <c r="C53" s="71"/>
      <c r="D53" s="71"/>
      <c r="E53" s="71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71"/>
      <c r="S53" s="71"/>
      <c r="T53" s="22">
        <v>1618</v>
      </c>
      <c r="U53" s="21" t="s">
        <v>59</v>
      </c>
      <c r="V53" s="23">
        <v>49.5</v>
      </c>
      <c r="W53" s="23">
        <v>0</v>
      </c>
      <c r="X53" s="23">
        <v>57.6</v>
      </c>
      <c r="Y53" s="17"/>
    </row>
    <row r="54" spans="1:25">
      <c r="A54" s="127"/>
      <c r="B54" s="71"/>
      <c r="C54" s="198"/>
      <c r="D54" s="71"/>
      <c r="E54" s="71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71"/>
      <c r="S54" s="71"/>
      <c r="T54" s="22">
        <v>1619</v>
      </c>
      <c r="U54" s="21" t="s">
        <v>58</v>
      </c>
      <c r="V54" s="23">
        <v>38.700000000000003</v>
      </c>
      <c r="W54" s="23">
        <v>16.739999999999998</v>
      </c>
      <c r="X54" s="23">
        <v>44.4</v>
      </c>
      <c r="Y54" s="17"/>
    </row>
    <row r="55" spans="1:25">
      <c r="A55" s="127"/>
      <c r="B55" s="71"/>
      <c r="C55" s="198"/>
      <c r="D55" s="71"/>
      <c r="E55" s="71"/>
      <c r="F55" s="7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71"/>
      <c r="S55" s="71"/>
      <c r="T55" s="22">
        <v>1620</v>
      </c>
      <c r="U55" s="21" t="s">
        <v>57</v>
      </c>
      <c r="V55" s="23">
        <v>2.4700000000000002</v>
      </c>
      <c r="W55" s="23">
        <v>3.38</v>
      </c>
      <c r="X55" s="23">
        <v>260</v>
      </c>
      <c r="Y55" s="17"/>
    </row>
    <row r="56" spans="1:25">
      <c r="A56" s="127"/>
      <c r="B56" s="71"/>
      <c r="C56" s="198"/>
      <c r="D56" s="71"/>
      <c r="E56" s="71"/>
      <c r="F56" s="7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71"/>
      <c r="S56" s="71"/>
      <c r="T56" s="22">
        <v>1701</v>
      </c>
      <c r="U56" s="21" t="s">
        <v>56</v>
      </c>
      <c r="V56" s="23">
        <v>22.55</v>
      </c>
      <c r="W56" s="23">
        <v>0</v>
      </c>
      <c r="X56" s="23">
        <v>94.75</v>
      </c>
      <c r="Y56" s="17"/>
    </row>
    <row r="57" spans="1:25">
      <c r="A57" s="127"/>
      <c r="B57" s="71"/>
      <c r="C57" s="71"/>
      <c r="D57" s="71"/>
      <c r="E57" s="71"/>
      <c r="F57" s="7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71"/>
      <c r="S57" s="71"/>
      <c r="T57" s="22">
        <v>1702</v>
      </c>
      <c r="U57" s="21" t="s">
        <v>55</v>
      </c>
      <c r="V57" s="23">
        <v>8.0399999999999991</v>
      </c>
      <c r="W57" s="23">
        <v>0</v>
      </c>
      <c r="X57" s="23">
        <v>104.27</v>
      </c>
      <c r="Y57" s="17"/>
    </row>
    <row r="58" spans="1:25">
      <c r="A58" s="127"/>
      <c r="B58" s="71"/>
      <c r="C58" s="71"/>
      <c r="D58" s="71"/>
      <c r="E58" s="71"/>
      <c r="F58" s="7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71"/>
      <c r="S58" s="71"/>
      <c r="T58" s="17"/>
      <c r="U58" s="17"/>
      <c r="V58" s="17"/>
      <c r="W58" s="17"/>
      <c r="X58" s="17"/>
      <c r="Y58" s="17"/>
    </row>
    <row r="59" spans="1:25">
      <c r="A59" s="127"/>
      <c r="B59" s="71"/>
      <c r="C59" s="71"/>
      <c r="D59" s="71"/>
      <c r="E59" s="71"/>
      <c r="F59" s="7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71"/>
      <c r="S59" s="71"/>
      <c r="T59" s="17"/>
      <c r="U59" s="17"/>
      <c r="V59" s="17"/>
      <c r="W59" s="17"/>
      <c r="X59" s="17"/>
      <c r="Y59" s="17"/>
    </row>
    <row r="60" spans="1:25">
      <c r="B60" s="17"/>
      <c r="C60" s="17"/>
      <c r="D60" s="71"/>
      <c r="E60" s="71"/>
      <c r="F60" s="71"/>
      <c r="G60" s="131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7"/>
      <c r="S60" s="17"/>
      <c r="T60" s="17"/>
      <c r="U60" s="17"/>
      <c r="V60" s="17"/>
      <c r="W60" s="17"/>
      <c r="X60" s="17"/>
      <c r="Y60" s="17"/>
    </row>
    <row r="61" spans="1:25">
      <c r="B61" s="17"/>
      <c r="C61" s="17"/>
      <c r="D61" s="17"/>
      <c r="E61" s="17"/>
      <c r="F61" s="17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7"/>
      <c r="S61" s="17"/>
      <c r="T61" s="17"/>
      <c r="U61" s="17"/>
      <c r="V61" s="17"/>
      <c r="W61" s="17"/>
      <c r="X61" s="17"/>
      <c r="Y61" s="17"/>
    </row>
    <row r="62" spans="1:25">
      <c r="B62" s="17"/>
      <c r="C62" s="17"/>
      <c r="D62" s="17"/>
      <c r="E62" s="17"/>
      <c r="F62" s="17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7"/>
      <c r="S62" s="17"/>
      <c r="T62" s="17"/>
      <c r="U62" s="17"/>
      <c r="V62" s="17"/>
      <c r="W62" s="17"/>
      <c r="X62" s="17"/>
      <c r="Y62" s="17"/>
    </row>
    <row r="63" spans="1:25">
      <c r="B63" s="17"/>
      <c r="C63" s="17"/>
      <c r="D63" s="17"/>
      <c r="E63" s="17"/>
      <c r="F63" s="17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7"/>
      <c r="S63" s="17"/>
      <c r="T63" s="17"/>
      <c r="U63" s="17"/>
      <c r="V63" s="17"/>
      <c r="W63" s="17"/>
      <c r="X63" s="17"/>
      <c r="Y63" s="17"/>
    </row>
    <row r="64" spans="1:2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2: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2: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2:2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2: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2: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2: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2: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2: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2: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2: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2:25">
      <c r="B75" s="17"/>
      <c r="C75" s="28"/>
      <c r="D75" s="25"/>
      <c r="E75" s="25"/>
      <c r="F75" s="25"/>
      <c r="G75" s="25"/>
      <c r="H75" s="17"/>
      <c r="I75" s="17"/>
      <c r="J75" s="28"/>
      <c r="K75" s="25"/>
      <c r="L75" s="25"/>
      <c r="M75" s="25"/>
      <c r="N75" s="25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2:25">
      <c r="B76" s="17"/>
      <c r="C76" s="28"/>
      <c r="D76" s="26"/>
      <c r="E76" s="26"/>
      <c r="F76" s="27"/>
      <c r="G76" s="17"/>
      <c r="H76" s="17"/>
      <c r="I76" s="17"/>
      <c r="J76" s="28"/>
      <c r="K76" s="26"/>
      <c r="L76" s="26"/>
      <c r="M76" s="2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2:25">
      <c r="B77" s="17"/>
      <c r="C77" s="28"/>
      <c r="D77" s="26"/>
      <c r="E77" s="26"/>
      <c r="F77" s="27"/>
      <c r="G77" s="17"/>
      <c r="H77" s="17"/>
      <c r="I77" s="17"/>
      <c r="J77" s="28"/>
      <c r="K77" s="26"/>
      <c r="L77" s="26"/>
      <c r="M77" s="2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2:25">
      <c r="B78" s="17"/>
      <c r="C78" s="28"/>
      <c r="D78" s="26"/>
      <c r="E78" s="26"/>
      <c r="F78" s="27"/>
      <c r="G78" s="17"/>
      <c r="H78" s="17"/>
      <c r="I78" s="17"/>
      <c r="J78" s="28"/>
      <c r="K78" s="26"/>
      <c r="L78" s="26"/>
      <c r="M78" s="2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2:25">
      <c r="B79" s="17"/>
      <c r="C79" s="28"/>
      <c r="D79" s="26"/>
      <c r="E79" s="26"/>
      <c r="F79" s="69"/>
      <c r="G79" s="17"/>
      <c r="H79" s="17"/>
      <c r="I79" s="17"/>
      <c r="J79" s="28"/>
      <c r="K79" s="26"/>
      <c r="L79" s="26"/>
      <c r="M79" s="69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2:25">
      <c r="B80" s="17"/>
      <c r="C80" s="28"/>
      <c r="D80" s="26"/>
      <c r="E80" s="26"/>
      <c r="F80" s="27"/>
      <c r="G80" s="17"/>
      <c r="H80" s="25"/>
      <c r="I80" s="17"/>
      <c r="J80" s="28"/>
      <c r="K80" s="26"/>
      <c r="L80" s="26"/>
      <c r="M80" s="2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2:2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2:25" ht="15">
      <c r="B82" s="17"/>
      <c r="C82" s="20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2:25">
      <c r="B83" s="17"/>
      <c r="C83" s="73"/>
      <c r="D83" s="17"/>
      <c r="E83" s="17"/>
      <c r="F83" s="17"/>
      <c r="G83" s="17"/>
      <c r="H83" s="17"/>
      <c r="I83" s="17"/>
      <c r="J83" s="130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2:2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</sheetData>
  <sheetProtection formatRows="0"/>
  <mergeCells count="3">
    <mergeCell ref="I3:J3"/>
    <mergeCell ref="C15:E15"/>
    <mergeCell ref="C16:E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Q50"/>
  <sheetViews>
    <sheetView topLeftCell="A28" zoomScaleNormal="100" zoomScaleSheetLayoutView="98" workbookViewId="0">
      <selection activeCell="T15" sqref="T15"/>
    </sheetView>
  </sheetViews>
  <sheetFormatPr defaultColWidth="9" defaultRowHeight="14.25"/>
  <cols>
    <col min="1" max="1" width="9" style="1" customWidth="1"/>
    <col min="2" max="2" width="2.625" style="1" customWidth="1"/>
    <col min="3" max="4" width="9" style="1" customWidth="1"/>
    <col min="5" max="5" width="8.625" style="1" customWidth="1"/>
    <col min="6" max="6" width="6.375" style="1" customWidth="1"/>
    <col min="7" max="7" width="14.125" style="1" customWidth="1"/>
    <col min="8" max="8" width="9" style="1" customWidth="1"/>
    <col min="9" max="9" width="6.75" style="1" customWidth="1"/>
    <col min="10" max="10" width="7.5" style="1" customWidth="1"/>
    <col min="11" max="11" width="4.25" style="1" customWidth="1"/>
    <col min="12" max="12" width="1.875" style="1" customWidth="1"/>
    <col min="13" max="13" width="2.375" style="1" customWidth="1"/>
    <col min="14" max="14" width="9.375" style="1" customWidth="1"/>
    <col min="15" max="15" width="12" style="1" customWidth="1"/>
    <col min="16" max="16" width="39.25" style="1" customWidth="1"/>
    <col min="17" max="17" width="13.875" style="1" customWidth="1"/>
    <col min="18" max="18" width="11.25" style="1" customWidth="1"/>
    <col min="19" max="19" width="9.5" style="1" customWidth="1"/>
    <col min="20" max="20" width="8.75" style="1" customWidth="1"/>
    <col min="21" max="21" width="9" style="1" customWidth="1"/>
    <col min="22" max="22" width="8.125" style="1" customWidth="1"/>
    <col min="23" max="23" width="9.25" style="1" customWidth="1"/>
    <col min="24" max="24" width="9" style="1" customWidth="1"/>
    <col min="25" max="25" width="8.75" style="1" customWidth="1"/>
    <col min="26" max="26" width="9.25" style="1" customWidth="1"/>
    <col min="27" max="32" width="9" style="1" customWidth="1"/>
    <col min="33" max="16384" width="9" style="1"/>
  </cols>
  <sheetData>
    <row r="3" spans="3:16" ht="15.75">
      <c r="C3" s="598"/>
      <c r="D3" s="598"/>
      <c r="E3" s="598"/>
      <c r="F3" s="598"/>
      <c r="G3" s="598"/>
      <c r="H3" s="598"/>
      <c r="I3" s="598"/>
      <c r="J3" s="598"/>
      <c r="K3" s="598"/>
    </row>
    <row r="4" spans="3:16">
      <c r="C4" s="29"/>
      <c r="D4" s="29"/>
      <c r="E4" s="29"/>
      <c r="F4" s="29"/>
      <c r="G4" s="29"/>
      <c r="H4" s="29"/>
      <c r="I4" s="29"/>
      <c r="J4" s="29"/>
      <c r="K4" s="29"/>
    </row>
    <row r="5" spans="3:16" ht="8.25" customHeight="1">
      <c r="C5" s="598"/>
      <c r="D5" s="598"/>
      <c r="E5" s="598"/>
      <c r="F5" s="598"/>
      <c r="G5" s="598"/>
      <c r="H5" s="598"/>
      <c r="I5" s="598"/>
      <c r="J5" s="598"/>
      <c r="K5" s="598"/>
    </row>
    <row r="6" spans="3:16" ht="46.5" customHeight="1">
      <c r="C6" s="580" t="e">
        <f>"Parametry kotłowni przed modernizacją: paliwo - "&amp;TEXT(P7,0)&amp;", "&amp;TEXT(P8,0)&amp;", "&amp;TEXT(P9,0)&amp;", "&amp;TEXT(P10,0)&amp;", "&amp;TEXT(P11,0)&amp;", "&amp;TEXT(P12,0)&amp;".
Przy obliczeniach CO2 wykorzystano KOBIZE: "&amp;TEXT(P13,0)&amp;"."</f>
        <v>#REF!</v>
      </c>
      <c r="D6" s="580"/>
      <c r="E6" s="580"/>
      <c r="F6" s="580"/>
      <c r="G6" s="580"/>
      <c r="H6" s="580"/>
      <c r="I6" s="580"/>
      <c r="J6" s="581"/>
      <c r="K6" s="29"/>
      <c r="P6" s="1" t="e">
        <f>#REF!</f>
        <v>#REF!</v>
      </c>
    </row>
    <row r="7" spans="3:16" ht="57.75" customHeight="1">
      <c r="C7" s="580"/>
      <c r="D7" s="580"/>
      <c r="E7" s="580"/>
      <c r="F7" s="580"/>
      <c r="G7" s="580"/>
      <c r="H7" s="580"/>
      <c r="I7" s="580"/>
      <c r="J7" s="581"/>
      <c r="K7" s="29"/>
      <c r="P7" s="1" t="e">
        <f>IF(#REF!&lt;&gt;"NIEDOTYCZY",#REF!," ")</f>
        <v>#REF!</v>
      </c>
    </row>
    <row r="8" spans="3:16" ht="6" customHeight="1" thickBot="1">
      <c r="C8" s="30"/>
      <c r="D8" s="30"/>
      <c r="H8" s="29"/>
      <c r="I8" s="29"/>
      <c r="J8" s="29"/>
      <c r="K8" s="29"/>
      <c r="P8" s="1" t="e">
        <f>IF(#REF!&lt;&gt;"NIEDOTYCZY",#REF!," ")</f>
        <v>#REF!</v>
      </c>
    </row>
    <row r="9" spans="3:16" ht="15.75" thickTop="1" thickBot="1">
      <c r="C9" s="582" t="s">
        <v>115</v>
      </c>
      <c r="D9" s="576"/>
      <c r="E9" s="578" t="s">
        <v>116</v>
      </c>
      <c r="F9" s="579"/>
      <c r="G9" s="31" t="s">
        <v>117</v>
      </c>
      <c r="H9" s="576" t="s">
        <v>118</v>
      </c>
      <c r="I9" s="577"/>
      <c r="K9" s="29"/>
      <c r="P9" s="1" t="e">
        <f>IF(#REF!&lt;&gt;"NIEDOTYCZY",#REF!," ")</f>
        <v>#REF!</v>
      </c>
    </row>
    <row r="10" spans="3:16" ht="15" thickTop="1">
      <c r="C10" s="567" t="e">
        <f>IF(P6=0,0,#REF!)</f>
        <v>#REF!</v>
      </c>
      <c r="D10" s="568"/>
      <c r="E10" s="32" t="e">
        <f>#REF!</f>
        <v>#REF!</v>
      </c>
      <c r="F10" s="33" t="e">
        <f>G10/E10/C10</f>
        <v>#REF!</v>
      </c>
      <c r="G10" s="34" t="e">
        <f>#REF!</f>
        <v>#REF!</v>
      </c>
      <c r="H10" s="568" t="s">
        <v>119</v>
      </c>
      <c r="I10" s="569"/>
      <c r="K10" s="29"/>
      <c r="P10" s="1" t="e">
        <f>IF(#REF!&lt;&gt;"NIEDOTYCZY",#REF!," ")</f>
        <v>#REF!</v>
      </c>
    </row>
    <row r="11" spans="3:16" ht="15">
      <c r="C11" s="564" t="e">
        <f>C10</f>
        <v>#REF!</v>
      </c>
      <c r="D11" s="332"/>
      <c r="E11" s="35" t="e">
        <f>#REF!</f>
        <v>#REF!</v>
      </c>
      <c r="F11" s="16" t="e">
        <f>G11/E11/C11</f>
        <v>#REF!</v>
      </c>
      <c r="G11" s="36" t="e">
        <f>#REF!</f>
        <v>#REF!</v>
      </c>
      <c r="H11" s="332" t="s">
        <v>120</v>
      </c>
      <c r="I11" s="565"/>
      <c r="K11" s="29"/>
      <c r="P11" s="1" t="e">
        <f>IF(#REF!&lt;&gt;"NIEDOTYCZY",#REF!," ")</f>
        <v>#REF!</v>
      </c>
    </row>
    <row r="12" spans="3:16" ht="15">
      <c r="C12" s="564" t="e">
        <f>#REF!</f>
        <v>#REF!</v>
      </c>
      <c r="D12" s="332"/>
      <c r="E12" s="35"/>
      <c r="F12" s="16"/>
      <c r="G12" s="36">
        <f>KOBIZE!C53</f>
        <v>0</v>
      </c>
      <c r="H12" s="332" t="s">
        <v>121</v>
      </c>
      <c r="I12" s="565"/>
      <c r="K12" s="29"/>
      <c r="O12" s="37" t="e">
        <f>#REF!</f>
        <v>#REF!</v>
      </c>
      <c r="P12" s="1" t="e">
        <f>IF(#REF!&lt;&gt;"NIEDOTYCZY",#REF!," ")</f>
        <v>#REF!</v>
      </c>
    </row>
    <row r="13" spans="3:16">
      <c r="C13" s="564" t="e">
        <f>C11</f>
        <v>#REF!</v>
      </c>
      <c r="D13" s="332"/>
      <c r="E13" s="35" t="e">
        <f>#REF!</f>
        <v>#REF!</v>
      </c>
      <c r="F13" s="16" t="e">
        <f>IF(E13*C13&gt;0,G13/E13/C13," ")</f>
        <v>#REF!</v>
      </c>
      <c r="G13" s="36" t="e">
        <f>#REF!</f>
        <v>#REF!</v>
      </c>
      <c r="H13" s="332" t="s">
        <v>7</v>
      </c>
      <c r="I13" s="565"/>
      <c r="K13" s="29"/>
      <c r="P13" s="1" t="e">
        <f>#REF!</f>
        <v>#REF!</v>
      </c>
    </row>
    <row r="14" spans="3:16" ht="15" thickBot="1">
      <c r="C14" s="566" t="e">
        <f>C13</f>
        <v>#REF!</v>
      </c>
      <c r="D14" s="562"/>
      <c r="E14" s="38" t="e">
        <f>#REF!</f>
        <v>#REF!</v>
      </c>
      <c r="F14" s="39" t="e">
        <f>G14/E14/C14</f>
        <v>#REF!</v>
      </c>
      <c r="G14" s="40" t="e">
        <f>#REF!</f>
        <v>#REF!</v>
      </c>
      <c r="H14" s="562" t="s">
        <v>8</v>
      </c>
      <c r="I14" s="563"/>
      <c r="K14" s="29"/>
    </row>
    <row r="15" spans="3:16" ht="21.75" customHeight="1" thickTop="1"/>
    <row r="16" spans="3:16" ht="55.5" customHeight="1">
      <c r="C16" s="580" t="e">
        <f>"Parametry kotłowni po modernizacji: paliwo - "&amp;TEXT(P19,0)&amp;", "&amp;TEXT(P20,0)&amp;", "&amp;TEXT(P21,0)&amp;", "&amp;TEXT(P22,0)&amp;", "&amp;TEXT(P23,0)&amp;", "&amp;TEXT(P24,0)&amp;".
Przy obliczeniach CO2 wykorzystano KOBIZE "&amp;TEXT(P25,0)&amp;"."</f>
        <v>#REF!</v>
      </c>
      <c r="D16" s="580"/>
      <c r="E16" s="580"/>
      <c r="F16" s="580"/>
      <c r="G16" s="580"/>
      <c r="H16" s="580"/>
      <c r="I16" s="580"/>
      <c r="J16" s="581"/>
    </row>
    <row r="17" spans="3:16" ht="39" customHeight="1">
      <c r="C17" s="580"/>
      <c r="D17" s="580"/>
      <c r="E17" s="580"/>
      <c r="F17" s="580"/>
      <c r="G17" s="580"/>
      <c r="H17" s="580"/>
      <c r="I17" s="580"/>
      <c r="J17" s="581"/>
      <c r="K17" s="41"/>
      <c r="P17" s="1" t="e">
        <f>#REF!</f>
        <v>#REF!</v>
      </c>
    </row>
    <row r="18" spans="3:16" ht="6.75" customHeight="1" thickBot="1">
      <c r="C18" s="30"/>
      <c r="D18" s="30"/>
      <c r="H18" s="29"/>
      <c r="I18" s="29"/>
      <c r="J18" s="29"/>
      <c r="K18" s="41"/>
    </row>
    <row r="19" spans="3:16" ht="15.75" thickTop="1" thickBot="1">
      <c r="C19" s="582" t="s">
        <v>115</v>
      </c>
      <c r="D19" s="576"/>
      <c r="E19" s="578" t="s">
        <v>116</v>
      </c>
      <c r="F19" s="579"/>
      <c r="G19" s="31" t="s">
        <v>117</v>
      </c>
      <c r="H19" s="576" t="s">
        <v>118</v>
      </c>
      <c r="I19" s="577"/>
      <c r="K19" s="42"/>
      <c r="P19" s="1" t="e">
        <f>IF(#REF!&lt;&gt;"NIEDOTYCZY",#REF!," ")</f>
        <v>#REF!</v>
      </c>
    </row>
    <row r="20" spans="3:16" ht="15" thickTop="1">
      <c r="C20" s="567" t="e">
        <f>IF(P17=0,0,#REF!)</f>
        <v>#REF!</v>
      </c>
      <c r="D20" s="568"/>
      <c r="E20" s="32" t="e">
        <f>#REF!</f>
        <v>#REF!</v>
      </c>
      <c r="F20" s="33" t="e">
        <f>G20/E20/C20</f>
        <v>#REF!</v>
      </c>
      <c r="G20" s="34" t="e">
        <f>#REF!</f>
        <v>#REF!</v>
      </c>
      <c r="H20" s="568" t="s">
        <v>119</v>
      </c>
      <c r="I20" s="569"/>
      <c r="K20" s="42"/>
      <c r="P20" s="1" t="e">
        <f>IF(#REF!&lt;&gt;"NIEDOTYCZY",#REF!," ")</f>
        <v>#REF!</v>
      </c>
    </row>
    <row r="21" spans="3:16" ht="15">
      <c r="C21" s="564" t="e">
        <f>C20</f>
        <v>#REF!</v>
      </c>
      <c r="D21" s="332"/>
      <c r="E21" s="35" t="e">
        <f>#REF!</f>
        <v>#REF!</v>
      </c>
      <c r="F21" s="16" t="e">
        <f>G21/E21/C21</f>
        <v>#REF!</v>
      </c>
      <c r="G21" s="36" t="e">
        <f>#REF!</f>
        <v>#REF!</v>
      </c>
      <c r="H21" s="332" t="s">
        <v>120</v>
      </c>
      <c r="I21" s="565"/>
      <c r="K21" s="42"/>
      <c r="P21" s="1" t="e">
        <f>IF(#REF!&lt;&gt;"NIEDOTYCZY",#REF!," ")</f>
        <v>#REF!</v>
      </c>
    </row>
    <row r="22" spans="3:16" ht="15">
      <c r="C22" s="564" t="e">
        <f>#REF!</f>
        <v>#REF!</v>
      </c>
      <c r="D22" s="332"/>
      <c r="E22" s="35"/>
      <c r="F22" s="16"/>
      <c r="G22" s="36">
        <f>KOBIZE!F53</f>
        <v>0</v>
      </c>
      <c r="H22" s="332" t="s">
        <v>121</v>
      </c>
      <c r="I22" s="565"/>
      <c r="K22" s="42"/>
      <c r="O22" s="37" t="e">
        <f>#REF!</f>
        <v>#REF!</v>
      </c>
      <c r="P22" s="1" t="e">
        <f>IF(#REF!&lt;&gt;"NIEDOTYCZY",#REF!," ")</f>
        <v>#REF!</v>
      </c>
    </row>
    <row r="23" spans="3:16">
      <c r="C23" s="564" t="e">
        <f>C21</f>
        <v>#REF!</v>
      </c>
      <c r="D23" s="332"/>
      <c r="E23" s="35" t="e">
        <f>#REF!</f>
        <v>#REF!</v>
      </c>
      <c r="F23" s="16" t="e">
        <f>IF(E23*C23&gt;0,G23/E23/C23," ")</f>
        <v>#REF!</v>
      </c>
      <c r="G23" s="36" t="e">
        <f>#REF!</f>
        <v>#REF!</v>
      </c>
      <c r="H23" s="332" t="s">
        <v>7</v>
      </c>
      <c r="I23" s="565"/>
      <c r="K23" s="42"/>
      <c r="P23" s="1" t="e">
        <f>IF(#REF!&lt;&gt;"NIEDOTYCZY",#REF!," ")</f>
        <v>#REF!</v>
      </c>
    </row>
    <row r="24" spans="3:16" ht="15" thickBot="1">
      <c r="C24" s="566" t="e">
        <f>C23</f>
        <v>#REF!</v>
      </c>
      <c r="D24" s="562"/>
      <c r="E24" s="38" t="e">
        <f>#REF!</f>
        <v>#REF!</v>
      </c>
      <c r="F24" s="39" t="e">
        <f>G24/E24/C24</f>
        <v>#REF!</v>
      </c>
      <c r="G24" s="40" t="e">
        <f>#REF!</f>
        <v>#REF!</v>
      </c>
      <c r="H24" s="562" t="s">
        <v>8</v>
      </c>
      <c r="I24" s="563"/>
      <c r="K24" s="42"/>
      <c r="P24" s="1" t="e">
        <f>IF(#REF!&lt;&gt;"NIEDOTYCZY",#REF!," ")</f>
        <v>#REF!</v>
      </c>
    </row>
    <row r="25" spans="3:16" ht="15" thickTop="1">
      <c r="K25" s="43"/>
      <c r="P25" s="1" t="e">
        <f>#REF!</f>
        <v>#REF!</v>
      </c>
    </row>
    <row r="26" spans="3:16">
      <c r="H26" s="29"/>
      <c r="I26" s="29"/>
      <c r="K26" s="44"/>
    </row>
    <row r="27" spans="3:16">
      <c r="C27" s="44" t="s">
        <v>122</v>
      </c>
      <c r="D27" s="44"/>
      <c r="E27" s="44"/>
      <c r="F27" s="44"/>
      <c r="G27" s="44"/>
      <c r="H27" s="44"/>
      <c r="I27" s="44"/>
      <c r="J27" s="44"/>
      <c r="K27" s="44"/>
    </row>
    <row r="28" spans="3:16">
      <c r="C28" s="44"/>
      <c r="D28" s="44"/>
      <c r="E28" s="44"/>
      <c r="F28" s="44"/>
      <c r="G28" s="44"/>
      <c r="H28" s="44"/>
      <c r="I28" s="44"/>
      <c r="J28" s="44"/>
      <c r="K28" s="44"/>
    </row>
    <row r="29" spans="3:16">
      <c r="C29" s="589" t="s">
        <v>123</v>
      </c>
      <c r="D29" s="590"/>
      <c r="E29" s="586" t="s">
        <v>124</v>
      </c>
      <c r="F29" s="587"/>
      <c r="G29" s="588"/>
      <c r="H29" s="586" t="s">
        <v>125</v>
      </c>
      <c r="I29" s="587"/>
      <c r="J29" s="571"/>
    </row>
    <row r="30" spans="3:16">
      <c r="C30" s="591"/>
      <c r="D30" s="590"/>
      <c r="E30" s="45" t="s">
        <v>132</v>
      </c>
      <c r="F30" s="46"/>
      <c r="G30" s="47" t="s">
        <v>126</v>
      </c>
      <c r="H30" s="570" t="s">
        <v>127</v>
      </c>
      <c r="I30" s="571"/>
      <c r="J30" s="48" t="s">
        <v>128</v>
      </c>
    </row>
    <row r="31" spans="3:16" ht="15.75">
      <c r="C31" s="592" t="s">
        <v>129</v>
      </c>
      <c r="D31" s="593"/>
      <c r="E31" s="583" t="e">
        <f>G10</f>
        <v>#REF!</v>
      </c>
      <c r="F31" s="584"/>
      <c r="G31" s="49" t="e">
        <f>G20</f>
        <v>#REF!</v>
      </c>
      <c r="H31" s="572" t="e">
        <f>IF(E31&gt;G31,E31-G31,0)</f>
        <v>#REF!</v>
      </c>
      <c r="I31" s="573"/>
      <c r="J31" s="50" t="e">
        <f>IF(E31&lt;&gt;0,(H31/E31)*100,0)</f>
        <v>#REF!</v>
      </c>
    </row>
    <row r="32" spans="3:16" ht="15.75">
      <c r="C32" s="594" t="s">
        <v>130</v>
      </c>
      <c r="D32" s="595"/>
      <c r="E32" s="583" t="e">
        <f>G11</f>
        <v>#REF!</v>
      </c>
      <c r="F32" s="584"/>
      <c r="G32" s="49" t="e">
        <f>G21</f>
        <v>#REF!</v>
      </c>
      <c r="H32" s="574" t="e">
        <f>IF(E32&gt;G32,E32-G32,0)</f>
        <v>#REF!</v>
      </c>
      <c r="I32" s="575"/>
      <c r="J32" s="50" t="e">
        <f>IF(E32&lt;&gt;0,(H32/E32)*100,0)</f>
        <v>#REF!</v>
      </c>
    </row>
    <row r="33" spans="1:17" ht="15.75">
      <c r="C33" s="594" t="s">
        <v>131</v>
      </c>
      <c r="D33" s="595"/>
      <c r="E33" s="574">
        <f>G12</f>
        <v>0</v>
      </c>
      <c r="F33" s="585"/>
      <c r="G33" s="49">
        <f>G22</f>
        <v>0</v>
      </c>
      <c r="H33" s="574">
        <f>IF(E33&gt;G33,E33-G33,0)</f>
        <v>0</v>
      </c>
      <c r="I33" s="575"/>
      <c r="J33" s="50">
        <f>IF(E33&lt;&gt;0,(H33/E33)*100,0)</f>
        <v>0</v>
      </c>
    </row>
    <row r="34" spans="1:17" ht="15.75">
      <c r="C34" s="594" t="s">
        <v>43</v>
      </c>
      <c r="D34" s="595"/>
      <c r="E34" s="583" t="e">
        <f>G13</f>
        <v>#REF!</v>
      </c>
      <c r="F34" s="584"/>
      <c r="G34" s="49" t="e">
        <f>G23</f>
        <v>#REF!</v>
      </c>
      <c r="H34" s="574" t="e">
        <f>IF(E34&gt;G34,E34-G34,0)</f>
        <v>#REF!</v>
      </c>
      <c r="I34" s="575"/>
      <c r="J34" s="50" t="e">
        <f>IF(E34&lt;&gt;0,(H34/E34)*100,0)</f>
        <v>#REF!</v>
      </c>
    </row>
    <row r="35" spans="1:17" ht="15.75">
      <c r="C35" s="599" t="s">
        <v>44</v>
      </c>
      <c r="D35" s="600"/>
      <c r="E35" s="601" t="e">
        <f>G14</f>
        <v>#REF!</v>
      </c>
      <c r="F35" s="602"/>
      <c r="G35" s="51" t="e">
        <f>G24</f>
        <v>#REF!</v>
      </c>
      <c r="H35" s="596" t="e">
        <f>IF(E35&gt;G35,E35-G35,0)</f>
        <v>#REF!</v>
      </c>
      <c r="I35" s="597"/>
      <c r="J35" s="52" t="e">
        <f>IF(E35&lt;&gt;0,(H35/E35)*100,0)</f>
        <v>#REF!</v>
      </c>
    </row>
    <row r="36" spans="1:17">
      <c r="A36" s="53"/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3"/>
      <c r="M36" s="53"/>
      <c r="N36" s="53"/>
      <c r="O36" s="53"/>
      <c r="P36" s="53"/>
      <c r="Q36" s="53"/>
    </row>
    <row r="37" spans="1:17">
      <c r="A37" s="53"/>
      <c r="B37" s="53"/>
      <c r="C37" s="55"/>
      <c r="D37" s="42"/>
      <c r="E37" s="42"/>
      <c r="F37" s="42"/>
      <c r="G37" s="42"/>
      <c r="H37" s="42"/>
      <c r="I37" s="42"/>
      <c r="J37" s="42"/>
      <c r="K37" s="42"/>
      <c r="L37" s="41"/>
      <c r="M37" s="41"/>
      <c r="N37" s="41"/>
      <c r="O37" s="41"/>
      <c r="P37" s="53"/>
      <c r="Q37" s="53"/>
    </row>
    <row r="38" spans="1:17">
      <c r="A38" s="53"/>
      <c r="B38" s="53"/>
      <c r="C38" s="56"/>
      <c r="D38" s="2"/>
      <c r="E38" s="57"/>
      <c r="F38" s="2"/>
      <c r="G38" s="42"/>
      <c r="H38" s="2"/>
      <c r="I38" s="42"/>
      <c r="J38" s="2"/>
      <c r="K38" s="42"/>
      <c r="L38" s="41"/>
      <c r="M38" s="41"/>
      <c r="N38" s="41"/>
      <c r="O38" s="41"/>
      <c r="P38" s="53"/>
      <c r="Q38" s="53"/>
    </row>
    <row r="39" spans="1:17">
      <c r="A39" s="53"/>
      <c r="B39" s="53"/>
      <c r="C39" s="58"/>
      <c r="D39" s="2"/>
      <c r="E39" s="59"/>
      <c r="F39" s="2"/>
      <c r="G39" s="60"/>
      <c r="H39" s="2"/>
      <c r="I39" s="60"/>
      <c r="J39" s="2"/>
      <c r="K39" s="59"/>
      <c r="L39" s="41"/>
      <c r="M39" s="41"/>
      <c r="N39" s="41"/>
      <c r="O39" s="41"/>
      <c r="P39" s="53"/>
      <c r="Q39" s="53"/>
    </row>
    <row r="40" spans="1:17">
      <c r="A40" s="53"/>
      <c r="B40" s="53"/>
      <c r="C40" s="41"/>
      <c r="D40" s="2"/>
      <c r="E40" s="59"/>
      <c r="F40" s="2"/>
      <c r="G40" s="60"/>
      <c r="H40" s="2"/>
      <c r="I40" s="60"/>
      <c r="J40" s="2"/>
      <c r="K40" s="59"/>
      <c r="L40" s="41"/>
      <c r="M40" s="41"/>
      <c r="N40" s="41"/>
      <c r="O40" s="41"/>
      <c r="P40" s="53"/>
      <c r="Q40" s="53"/>
    </row>
    <row r="41" spans="1:17">
      <c r="A41" s="53"/>
      <c r="B41" s="53"/>
      <c r="C41" s="41"/>
      <c r="D41" s="2"/>
      <c r="E41" s="59"/>
      <c r="F41" s="2"/>
      <c r="G41" s="60"/>
      <c r="H41" s="2"/>
      <c r="I41" s="60"/>
      <c r="J41" s="2"/>
      <c r="K41" s="59"/>
      <c r="L41" s="41"/>
      <c r="M41" s="41"/>
      <c r="N41" s="41"/>
      <c r="O41" s="41"/>
      <c r="P41" s="53"/>
      <c r="Q41" s="53"/>
    </row>
    <row r="42" spans="1:17">
      <c r="A42" s="53"/>
      <c r="B42" s="53"/>
      <c r="C42" s="41"/>
      <c r="D42" s="2"/>
      <c r="E42" s="59"/>
      <c r="F42" s="2"/>
      <c r="G42" s="60"/>
      <c r="H42" s="2"/>
      <c r="I42" s="60"/>
      <c r="J42" s="2"/>
      <c r="K42" s="59"/>
      <c r="L42" s="41"/>
      <c r="M42" s="41"/>
      <c r="N42" s="41"/>
      <c r="O42" s="41"/>
      <c r="P42" s="53"/>
      <c r="Q42" s="53"/>
    </row>
    <row r="43" spans="1:17">
      <c r="A43" s="53"/>
      <c r="B43" s="53"/>
      <c r="C43" s="41"/>
      <c r="D43" s="2"/>
      <c r="E43" s="59"/>
      <c r="F43" s="2"/>
      <c r="G43" s="60"/>
      <c r="H43" s="2"/>
      <c r="I43" s="60"/>
      <c r="J43" s="2"/>
      <c r="K43" s="59"/>
      <c r="L43" s="41"/>
      <c r="M43" s="41"/>
      <c r="N43" s="41"/>
      <c r="O43" s="41"/>
      <c r="P43" s="53"/>
      <c r="Q43" s="53"/>
    </row>
    <row r="44" spans="1:17">
      <c r="A44" s="53"/>
      <c r="B44" s="53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53"/>
      <c r="Q44" s="53"/>
    </row>
    <row r="45" spans="1:17">
      <c r="A45" s="53"/>
      <c r="B45" s="53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53"/>
      <c r="Q45" s="53"/>
    </row>
    <row r="46" spans="1:17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17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7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</row>
  </sheetData>
  <sheetProtection formatCells="0"/>
  <mergeCells count="49">
    <mergeCell ref="H33:I33"/>
    <mergeCell ref="H34:I34"/>
    <mergeCell ref="H35:I35"/>
    <mergeCell ref="H29:J29"/>
    <mergeCell ref="C3:K3"/>
    <mergeCell ref="C5:K5"/>
    <mergeCell ref="H10:I10"/>
    <mergeCell ref="H11:I11"/>
    <mergeCell ref="H12:I12"/>
    <mergeCell ref="C6:J7"/>
    <mergeCell ref="C35:D35"/>
    <mergeCell ref="E35:F35"/>
    <mergeCell ref="C34:D34"/>
    <mergeCell ref="E34:F34"/>
    <mergeCell ref="C33:D33"/>
    <mergeCell ref="E31:F31"/>
    <mergeCell ref="E32:F32"/>
    <mergeCell ref="E33:F33"/>
    <mergeCell ref="E29:G29"/>
    <mergeCell ref="C29:D30"/>
    <mergeCell ref="C31:D31"/>
    <mergeCell ref="C32:D32"/>
    <mergeCell ref="H30:I30"/>
    <mergeCell ref="H31:I31"/>
    <mergeCell ref="H32:I32"/>
    <mergeCell ref="H9:I9"/>
    <mergeCell ref="E9:F9"/>
    <mergeCell ref="H13:I13"/>
    <mergeCell ref="C16:J17"/>
    <mergeCell ref="C19:D19"/>
    <mergeCell ref="E19:F19"/>
    <mergeCell ref="H19:I19"/>
    <mergeCell ref="C9:D9"/>
    <mergeCell ref="C10:D10"/>
    <mergeCell ref="C11:D11"/>
    <mergeCell ref="C12:D12"/>
    <mergeCell ref="C13:D13"/>
    <mergeCell ref="C24:D24"/>
    <mergeCell ref="H24:I24"/>
    <mergeCell ref="C21:D21"/>
    <mergeCell ref="H21:I21"/>
    <mergeCell ref="H14:I14"/>
    <mergeCell ref="C14:D14"/>
    <mergeCell ref="C20:D20"/>
    <mergeCell ref="H20:I20"/>
    <mergeCell ref="C22:D22"/>
    <mergeCell ref="H22:I22"/>
    <mergeCell ref="C23:D23"/>
    <mergeCell ref="H23:I23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5</vt:i4>
      </vt:variant>
    </vt:vector>
  </HeadingPairs>
  <TitlesOfParts>
    <vt:vector size="13" baseType="lpstr">
      <vt:lpstr>Instrukcja</vt:lpstr>
      <vt:lpstr>Wydruk</vt:lpstr>
      <vt:lpstr>Efekt OA-I</vt:lpstr>
      <vt:lpstr>Efekt OA-II</vt:lpstr>
      <vt:lpstr>Efekt OA-III</vt:lpstr>
      <vt:lpstr>Efekt OA-IV</vt:lpstr>
      <vt:lpstr>KOBIZE</vt:lpstr>
      <vt:lpstr>Podsumowanie</vt:lpstr>
      <vt:lpstr>'Efekt OA-I'!Obszar_wydruku</vt:lpstr>
      <vt:lpstr>'Efekt OA-II'!Obszar_wydruku</vt:lpstr>
      <vt:lpstr>'Efekt OA-III'!Obszar_wydruku</vt:lpstr>
      <vt:lpstr>'Efekt OA-IV'!Obszar_wydruku</vt:lpstr>
      <vt:lpstr>Podsumowanie!Obszar_wydruku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Chatłas</dc:creator>
  <cp:lastModifiedBy>Piątek, Jędrzej</cp:lastModifiedBy>
  <cp:lastPrinted>2021-02-11T10:08:18Z</cp:lastPrinted>
  <dcterms:created xsi:type="dcterms:W3CDTF">2014-02-17T14:09:35Z</dcterms:created>
  <dcterms:modified xsi:type="dcterms:W3CDTF">2021-12-20T08:26:28Z</dcterms:modified>
</cp:coreProperties>
</file>