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PZ\KRAJÓWKA 2022\2022 - GEO2022 - Geotermia niskotemperaturowa\Dokumenty do naboru\dokumenty do wniosku\Druki efektów rzeczowo-ekologicznych\"/>
    </mc:Choice>
  </mc:AlternateContent>
  <xr:revisionPtr revIDLastSave="0" documentId="8_{B2AD6323-5EA6-43FE-9091-DCDB985A9816}" xr6:coauthVersionLast="47" xr6:coauthVersionMax="47" xr10:uidLastSave="{00000000-0000-0000-0000-000000000000}"/>
  <workbookProtection workbookAlgorithmName="SHA-512" workbookHashValue="wcvmHZqSJaRJTeWSPADWU5PO44DHCwJjcq2CxVoF7il3KLls3oWK+9AxMAfXhGr9SI8VxtpaiklwC+5UwxrIXA==" workbookSaltValue="r6dhw8bRP1dMP8TTulaMUg==" workbookSpinCount="100000" lockStructure="1"/>
  <bookViews>
    <workbookView xWindow="-120" yWindow="-120" windowWidth="29040" windowHeight="15840" xr2:uid="{00000000-000D-0000-FFFF-FFFF00000000}"/>
  </bookViews>
  <sheets>
    <sheet name="Instrukcja" sheetId="6" r:id="rId1"/>
    <sheet name="Wydruk" sheetId="5" state="hidden" r:id="rId2"/>
    <sheet name="Efekt OA-I" sheetId="7" r:id="rId3"/>
    <sheet name="Efekt OA-IV" sheetId="10" r:id="rId4"/>
    <sheet name="KOBIZE" sheetId="11" state="hidden" r:id="rId5"/>
    <sheet name="Podsumowanie" sheetId="2" state="hidden" r:id="rId6"/>
  </sheets>
  <definedNames>
    <definedName name="_xlnm.Print_Area" localSheetId="2">'Efekt OA-I'!$A$1:$F$60</definedName>
    <definedName name="_xlnm.Print_Area" localSheetId="3">'Efekt OA-IV'!$A$1:$T$66</definedName>
    <definedName name="_xlnm.Print_Area" localSheetId="5">Podsumowanie!$B$5:$L$39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10" l="1"/>
  <c r="M28" i="10"/>
  <c r="M27" i="10"/>
  <c r="H249" i="7" l="1"/>
  <c r="H225" i="7"/>
  <c r="H224" i="7"/>
  <c r="H233" i="7" s="1"/>
  <c r="J224" i="7"/>
  <c r="J249" i="7" s="1"/>
  <c r="D225" i="7"/>
  <c r="D222" i="7"/>
  <c r="D224" i="7" s="1"/>
  <c r="B222" i="7"/>
  <c r="B225" i="7" s="1"/>
  <c r="M117" i="7"/>
  <c r="T111" i="7"/>
  <c r="T110" i="7"/>
  <c r="T107" i="7"/>
  <c r="T106" i="7"/>
  <c r="O117" i="7"/>
  <c r="B223" i="7" l="1"/>
  <c r="B224" i="7"/>
  <c r="D223" i="7"/>
  <c r="H247" i="7"/>
  <c r="J250" i="7"/>
  <c r="H248" i="7"/>
  <c r="H250" i="7"/>
  <c r="J233" i="7"/>
  <c r="J246" i="7"/>
  <c r="J247" i="7"/>
  <c r="J248" i="7"/>
  <c r="H246" i="7"/>
  <c r="J126" i="10" l="1"/>
  <c r="H126" i="10"/>
  <c r="D138" i="10"/>
  <c r="B138" i="10"/>
  <c r="D137" i="10"/>
  <c r="B137" i="10"/>
  <c r="D136" i="10"/>
  <c r="B136" i="10"/>
  <c r="D135" i="10"/>
  <c r="B135" i="10"/>
  <c r="D134" i="10"/>
  <c r="B134" i="10"/>
  <c r="D133" i="10"/>
  <c r="B133" i="10"/>
  <c r="D132" i="10"/>
  <c r="B132" i="10"/>
  <c r="D131" i="10"/>
  <c r="B131" i="10"/>
  <c r="D130" i="10"/>
  <c r="B130" i="10"/>
  <c r="D129" i="10"/>
  <c r="B129" i="10"/>
  <c r="D128" i="10"/>
  <c r="B128" i="10"/>
  <c r="D127" i="10"/>
  <c r="B127" i="10"/>
  <c r="D126" i="10"/>
  <c r="B126" i="10"/>
  <c r="J148" i="10" l="1"/>
  <c r="J149" i="10"/>
  <c r="J151" i="10"/>
  <c r="J135" i="10"/>
  <c r="J152" i="10"/>
  <c r="J150" i="10"/>
  <c r="H135" i="10"/>
  <c r="H149" i="10"/>
  <c r="H151" i="10"/>
  <c r="H134" i="10"/>
  <c r="H131" i="10"/>
  <c r="H148" i="10"/>
  <c r="H147" i="10"/>
  <c r="H150" i="10"/>
  <c r="H152" i="10"/>
  <c r="J141" i="10"/>
  <c r="J143" i="10"/>
  <c r="J142" i="10"/>
  <c r="J144" i="10"/>
  <c r="H130" i="10"/>
  <c r="H129" i="10"/>
  <c r="J130" i="10"/>
  <c r="J133" i="10"/>
  <c r="J137" i="10"/>
  <c r="J147" i="10"/>
  <c r="J128" i="10"/>
  <c r="J127" i="10"/>
  <c r="J139" i="10"/>
  <c r="J145" i="10"/>
  <c r="J129" i="10"/>
  <c r="J131" i="10"/>
  <c r="J132" i="10"/>
  <c r="J134" i="10"/>
  <c r="J136" i="10"/>
  <c r="J138" i="10"/>
  <c r="J140" i="10"/>
  <c r="J146" i="10"/>
  <c r="H142" i="10"/>
  <c r="H141" i="10"/>
  <c r="H143" i="10"/>
  <c r="H127" i="10"/>
  <c r="H132" i="10"/>
  <c r="H136" i="10"/>
  <c r="H138" i="10"/>
  <c r="H140" i="10"/>
  <c r="H144" i="10"/>
  <c r="H146" i="10"/>
  <c r="H128" i="10"/>
  <c r="H133" i="10"/>
  <c r="H137" i="10"/>
  <c r="H139" i="10"/>
  <c r="H145" i="10"/>
  <c r="H154" i="10" l="1"/>
  <c r="H153" i="10"/>
  <c r="J154" i="10"/>
  <c r="J153" i="10"/>
  <c r="J226" i="7" l="1"/>
  <c r="H228" i="7"/>
  <c r="H230" i="7"/>
  <c r="H232" i="7"/>
  <c r="H234" i="7"/>
  <c r="H236" i="7"/>
  <c r="H238" i="7"/>
  <c r="H240" i="7"/>
  <c r="H242" i="7"/>
  <c r="H244" i="7"/>
  <c r="H226" i="7"/>
  <c r="H227" i="7"/>
  <c r="H229" i="7"/>
  <c r="H231" i="7"/>
  <c r="H235" i="7"/>
  <c r="H237" i="7"/>
  <c r="H239" i="7"/>
  <c r="H241" i="7"/>
  <c r="H243" i="7"/>
  <c r="H245" i="7"/>
  <c r="J227" i="7"/>
  <c r="J229" i="7"/>
  <c r="J230" i="7"/>
  <c r="J232" i="7"/>
  <c r="J234" i="7"/>
  <c r="J236" i="7"/>
  <c r="J238" i="7"/>
  <c r="J240" i="7"/>
  <c r="J242" i="7"/>
  <c r="J244" i="7"/>
  <c r="J228" i="7"/>
  <c r="J225" i="7"/>
  <c r="J231" i="7"/>
  <c r="J235" i="7"/>
  <c r="J237" i="7"/>
  <c r="J239" i="7"/>
  <c r="J241" i="7"/>
  <c r="J243" i="7"/>
  <c r="J245" i="7"/>
  <c r="M123" i="7" l="1"/>
  <c r="M120" i="7"/>
  <c r="M124" i="7" l="1"/>
  <c r="O50" i="10" l="1"/>
  <c r="O51" i="10"/>
  <c r="I50" i="10"/>
  <c r="I56" i="10" s="1"/>
  <c r="I51" i="10"/>
  <c r="M43" i="10"/>
  <c r="M35" i="10"/>
  <c r="M36" i="10" s="1"/>
  <c r="L56" i="10" l="1"/>
  <c r="B232" i="7" l="1"/>
  <c r="B231" i="7"/>
  <c r="L275" i="7"/>
  <c r="L274" i="7"/>
  <c r="L273" i="7"/>
  <c r="L272" i="7"/>
  <c r="E272" i="7"/>
  <c r="L271" i="7"/>
  <c r="B236" i="7"/>
  <c r="B235" i="7"/>
  <c r="D234" i="7"/>
  <c r="B234" i="7"/>
  <c r="AS158" i="7"/>
  <c r="AR158" i="7"/>
  <c r="AQ158" i="7"/>
  <c r="AO158" i="7"/>
  <c r="AN158" i="7"/>
  <c r="AS157" i="7"/>
  <c r="AR157" i="7"/>
  <c r="AQ157" i="7"/>
  <c r="AO157" i="7"/>
  <c r="AN157" i="7"/>
  <c r="AS156" i="7"/>
  <c r="AR156" i="7"/>
  <c r="AQ156" i="7"/>
  <c r="AO156" i="7"/>
  <c r="AN156" i="7"/>
  <c r="O129" i="7"/>
  <c r="M129" i="7"/>
  <c r="O126" i="7"/>
  <c r="M126" i="7"/>
  <c r="O123" i="7"/>
  <c r="O120" i="7"/>
  <c r="I136" i="7"/>
  <c r="B56" i="7"/>
  <c r="F42" i="7"/>
  <c r="D42" i="7"/>
  <c r="C42" i="7" s="1"/>
  <c r="D43" i="7" l="1"/>
  <c r="C45" i="7"/>
  <c r="F43" i="7"/>
  <c r="E42" i="7"/>
  <c r="E45" i="7" s="1"/>
  <c r="D136" i="7"/>
  <c r="M130" i="7"/>
  <c r="R143" i="7" s="1"/>
  <c r="D20" i="7"/>
  <c r="C43" i="7" s="1"/>
  <c r="D232" i="7"/>
  <c r="D231" i="7"/>
  <c r="E275" i="7"/>
  <c r="E273" i="7"/>
  <c r="E271" i="7"/>
  <c r="E274" i="7"/>
  <c r="D226" i="7"/>
  <c r="D229" i="7"/>
  <c r="D235" i="7"/>
  <c r="D236" i="7"/>
  <c r="O130" i="7"/>
  <c r="R154" i="7" s="1"/>
  <c r="J136" i="7"/>
  <c r="F20" i="7"/>
  <c r="E43" i="7" s="1"/>
  <c r="O124" i="7"/>
  <c r="U137" i="7" s="1"/>
  <c r="E136" i="7"/>
  <c r="V137" i="7"/>
  <c r="D227" i="7"/>
  <c r="D228" i="7"/>
  <c r="D230" i="7"/>
  <c r="D233" i="7"/>
  <c r="B226" i="7"/>
  <c r="B227" i="7"/>
  <c r="B228" i="7"/>
  <c r="B229" i="7"/>
  <c r="B230" i="7"/>
  <c r="B233" i="7"/>
  <c r="U138" i="7" l="1"/>
  <c r="R146" i="7"/>
  <c r="R144" i="7"/>
  <c r="E44" i="7"/>
  <c r="D50" i="7" s="1"/>
  <c r="R145" i="7"/>
  <c r="C44" i="7"/>
  <c r="R155" i="7"/>
  <c r="R153" i="7"/>
  <c r="R152" i="7"/>
  <c r="M132" i="7" l="1"/>
  <c r="M134" i="7" s="1"/>
  <c r="M157" i="7" s="1"/>
  <c r="C35" i="7" s="1"/>
  <c r="O132" i="7"/>
  <c r="O134" i="7" s="1"/>
  <c r="O153" i="7" s="1"/>
  <c r="D32" i="7" s="1"/>
  <c r="C50" i="7"/>
  <c r="M155" i="7" l="1"/>
  <c r="M153" i="7"/>
  <c r="C32" i="7" s="1"/>
  <c r="E32" i="7" s="1"/>
  <c r="F32" i="7" s="1"/>
  <c r="M154" i="7"/>
  <c r="C33" i="7" s="1"/>
  <c r="M156" i="7"/>
  <c r="C34" i="7" s="1"/>
  <c r="O157" i="7"/>
  <c r="D35" i="7" s="1"/>
  <c r="E35" i="7" s="1"/>
  <c r="F35" i="7" s="1"/>
  <c r="O154" i="7"/>
  <c r="D33" i="7" s="1"/>
  <c r="O155" i="7"/>
  <c r="I153" i="7"/>
  <c r="O156" i="7"/>
  <c r="E50" i="7"/>
  <c r="F50" i="7" s="1"/>
  <c r="E33" i="7" l="1"/>
  <c r="F33" i="7" s="1"/>
  <c r="I157" i="7"/>
  <c r="I154" i="7"/>
  <c r="D34" i="7"/>
  <c r="E34" i="7" s="1"/>
  <c r="F34" i="7" s="1"/>
  <c r="I156" i="7"/>
  <c r="B63" i="10" l="1"/>
  <c r="P43" i="10"/>
  <c r="O56" i="10" l="1"/>
  <c r="R56" i="10"/>
  <c r="A5" i="5" l="1"/>
  <c r="A79" i="5"/>
  <c r="C57" i="5"/>
  <c r="A57" i="5"/>
  <c r="C11" i="5" l="1"/>
  <c r="C12" i="5"/>
  <c r="E12" i="5"/>
  <c r="E11" i="5"/>
  <c r="D79" i="5" l="1"/>
  <c r="C39" i="5" l="1"/>
  <c r="E39" i="5"/>
  <c r="E38" i="5"/>
  <c r="E37" i="5"/>
  <c r="C38" i="5"/>
  <c r="C37" i="5"/>
  <c r="E17" i="5"/>
  <c r="E16" i="5"/>
  <c r="E15" i="5"/>
  <c r="E14" i="5"/>
  <c r="E13" i="5"/>
  <c r="C16" i="5"/>
  <c r="C15" i="5"/>
  <c r="C14" i="5"/>
  <c r="C17" i="5"/>
  <c r="C13" i="5"/>
  <c r="C42" i="5" l="1"/>
  <c r="C43" i="5"/>
  <c r="C41" i="5"/>
  <c r="P20" i="2" l="1"/>
  <c r="E42" i="5" l="1"/>
  <c r="E41" i="5"/>
  <c r="E43" i="5"/>
  <c r="P25" i="2"/>
  <c r="P24" i="2"/>
  <c r="P23" i="2"/>
  <c r="P22" i="2"/>
  <c r="P21" i="2"/>
  <c r="P8" i="2"/>
  <c r="P19" i="2"/>
  <c r="P13" i="2"/>
  <c r="P12" i="2"/>
  <c r="P11" i="2"/>
  <c r="P10" i="2"/>
  <c r="P9" i="2"/>
  <c r="P7" i="2"/>
  <c r="C16" i="2" l="1"/>
  <c r="P17" i="2"/>
  <c r="C20" i="2" s="1"/>
  <c r="C21" i="2" s="1"/>
  <c r="C23" i="2" s="1"/>
  <c r="P6" i="2"/>
  <c r="C10" i="2" s="1"/>
  <c r="C11" i="2" s="1"/>
  <c r="C13" i="2" s="1"/>
  <c r="C14" i="2" s="1"/>
  <c r="C6" i="2"/>
  <c r="E23" i="5" l="1"/>
  <c r="C23" i="5"/>
  <c r="C24" i="2"/>
  <c r="E27" i="5" l="1"/>
  <c r="C27" i="5"/>
  <c r="D23" i="5"/>
  <c r="F23" i="5"/>
  <c r="C12" i="2"/>
  <c r="C22" i="2"/>
  <c r="E25" i="5" l="1"/>
  <c r="G24" i="2"/>
  <c r="G21" i="2"/>
  <c r="G23" i="2"/>
  <c r="C22" i="5"/>
  <c r="D22" i="5"/>
  <c r="C25" i="5"/>
  <c r="G11" i="2"/>
  <c r="G13" i="2"/>
  <c r="G10" i="2"/>
  <c r="E10" i="2"/>
  <c r="O22" i="2"/>
  <c r="O12" i="2"/>
  <c r="E23" i="2"/>
  <c r="E21" i="2"/>
  <c r="E24" i="2"/>
  <c r="E14" i="2"/>
  <c r="E11" i="2"/>
  <c r="E13" i="2"/>
  <c r="E22" i="5" l="1"/>
  <c r="F22" i="5"/>
  <c r="E24" i="5"/>
  <c r="G14" i="2"/>
  <c r="E35" i="2" s="1"/>
  <c r="G20" i="2"/>
  <c r="C32" i="5"/>
  <c r="C24" i="5"/>
  <c r="E32" i="2"/>
  <c r="F11" i="2"/>
  <c r="G35" i="2"/>
  <c r="F24" i="2"/>
  <c r="G34" i="2"/>
  <c r="F23" i="2"/>
  <c r="E34" i="2"/>
  <c r="F13" i="2"/>
  <c r="G32" i="2"/>
  <c r="F21" i="2"/>
  <c r="E31" i="2"/>
  <c r="F10" i="2"/>
  <c r="D32" i="5" l="1"/>
  <c r="G22" i="2"/>
  <c r="G33" i="2" s="1"/>
  <c r="F14" i="2"/>
  <c r="C50" i="5"/>
  <c r="D49" i="5"/>
  <c r="D51" i="5"/>
  <c r="C48" i="5"/>
  <c r="C51" i="5"/>
  <c r="D50" i="5"/>
  <c r="C49" i="5"/>
  <c r="H35" i="2"/>
  <c r="H32" i="2"/>
  <c r="H34" i="2"/>
  <c r="G12" i="2"/>
  <c r="E33" i="2" s="1"/>
  <c r="H33" i="2" l="1"/>
  <c r="J33" i="2" s="1"/>
  <c r="J32" i="2"/>
  <c r="E49" i="5"/>
  <c r="J34" i="2"/>
  <c r="E50" i="5"/>
  <c r="J35" i="2"/>
  <c r="E51" i="5"/>
  <c r="E20" i="2"/>
  <c r="E32" i="5" l="1"/>
  <c r="F32" i="5"/>
  <c r="F51" i="5"/>
  <c r="F49" i="5"/>
  <c r="F50" i="5"/>
  <c r="G31" i="2"/>
  <c r="F20" i="2"/>
  <c r="H31" i="2" l="1"/>
  <c r="D48" i="5"/>
  <c r="J31" i="2" l="1"/>
  <c r="E48" i="5"/>
  <c r="F48" i="5" l="1"/>
</calcChain>
</file>

<file path=xl/sharedStrings.xml><?xml version="1.0" encoding="utf-8"?>
<sst xmlns="http://schemas.openxmlformats.org/spreadsheetml/2006/main" count="724" uniqueCount="330">
  <si>
    <t>palniki pionowe</t>
  </si>
  <si>
    <t>palniki poziome</t>
  </si>
  <si>
    <t>Wybierz paliwo</t>
  </si>
  <si>
    <t>Ruszt mechaniczny</t>
  </si>
  <si>
    <r>
      <t>SO</t>
    </r>
    <r>
      <rPr>
        <vertAlign val="subscript"/>
        <sz val="10"/>
        <rFont val="Arial CE"/>
        <charset val="238"/>
      </rPr>
      <t>2</t>
    </r>
  </si>
  <si>
    <r>
      <t>NO</t>
    </r>
    <r>
      <rPr>
        <vertAlign val="subscript"/>
        <sz val="10"/>
        <rFont val="Arial CE"/>
        <charset val="238"/>
      </rPr>
      <t>2</t>
    </r>
  </si>
  <si>
    <r>
      <t>CO</t>
    </r>
    <r>
      <rPr>
        <vertAlign val="subscript"/>
        <sz val="10"/>
        <rFont val="Arial CE"/>
        <charset val="238"/>
      </rPr>
      <t>2</t>
    </r>
  </si>
  <si>
    <t>CO</t>
  </si>
  <si>
    <t>pył</t>
  </si>
  <si>
    <t>Ruszt stały</t>
  </si>
  <si>
    <t>Wydajność cieplna powyżej 30 MW</t>
  </si>
  <si>
    <t>Wydajność cieplna od 5,5 do 30 MW</t>
  </si>
  <si>
    <t>Wybierz rodzaj palnika</t>
  </si>
  <si>
    <t>Parowe i wodne</t>
  </si>
  <si>
    <t>Wydajność cieplna od 1,4 do 5,5 MW</t>
  </si>
  <si>
    <t>Wydajność cieplna poniżej 1,4 MW</t>
  </si>
  <si>
    <t>Węgiel</t>
  </si>
  <si>
    <t>Ciąg naturalny</t>
  </si>
  <si>
    <t>Koks</t>
  </si>
  <si>
    <t>Ciąg sztuczny</t>
  </si>
  <si>
    <t>Wydajność cieplna powyżej 200 kW</t>
  </si>
  <si>
    <t>Wydajność cieplna od 25 do 200 kW</t>
  </si>
  <si>
    <t>Cały zakres wydajności cieplnej</t>
  </si>
  <si>
    <t>Palnik poziomy</t>
  </si>
  <si>
    <t>Wydajność cieplna powyżej 12 MW (powyżej 20 T/h pary)</t>
  </si>
  <si>
    <t>Wydajność cieplna od 3 do 12 MW ( od 5 do 20 T/h pary)</t>
  </si>
  <si>
    <t>Wydajność cieplna do 3 MW (poniżej 5 T/h pary)</t>
  </si>
  <si>
    <t>Wydajność cieplna poniżej 5,5 MW</t>
  </si>
  <si>
    <t>Wybierz rodzaj rusztu</t>
  </si>
  <si>
    <t>Wybierz rodzaj kotła</t>
  </si>
  <si>
    <t>Wybierz rodzaj ciągu</t>
  </si>
  <si>
    <t>Wybierz zakres wydajności cieplnej</t>
  </si>
  <si>
    <t>PRZED</t>
  </si>
  <si>
    <t>PO</t>
  </si>
  <si>
    <t>Podaj ilość paliwa przed termomodernizacją</t>
  </si>
  <si>
    <t>B=</t>
  </si>
  <si>
    <t>S=</t>
  </si>
  <si>
    <t>%</t>
  </si>
  <si>
    <t>Podaj zawartość popiołu (w %)</t>
  </si>
  <si>
    <t>A'=</t>
  </si>
  <si>
    <t>n=</t>
  </si>
  <si>
    <t>Podaj zawartość części palnych w pyle (w %)</t>
  </si>
  <si>
    <t>k=</t>
  </si>
  <si>
    <t>Tlenek węgla (CO)</t>
  </si>
  <si>
    <t>Pył ogółem</t>
  </si>
  <si>
    <r>
      <t>Dwutlenek siarki (SO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</si>
  <si>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r>
      <t>Dwutlenek azotu (NO</t>
    </r>
    <r>
      <rPr>
        <vertAlign val="subscript"/>
        <sz val="11"/>
        <rFont val="Calibri"/>
        <family val="2"/>
        <charset val="238"/>
        <scheme val="minor"/>
      </rPr>
      <t>x</t>
    </r>
    <r>
      <rPr>
        <sz val="11"/>
        <rFont val="Calibri"/>
        <family val="2"/>
        <charset val="238"/>
        <scheme val="minor"/>
      </rPr>
      <t>)</t>
    </r>
  </si>
  <si>
    <r>
      <t>Dwutlenek wegla (CO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</t>
    </r>
  </si>
  <si>
    <t>kg</t>
  </si>
  <si>
    <t>Podaj ilość paliwa po termomodernizacji</t>
  </si>
  <si>
    <t>Przed</t>
  </si>
  <si>
    <t>Po</t>
  </si>
  <si>
    <t>REDUKCJA EMISJI</t>
  </si>
  <si>
    <t>Emisja zanieczyszczeń przed [kg/rok]</t>
  </si>
  <si>
    <t>UWAGA: Proszę zawsze wypełniać wszystkie żółte pola w kolumnach zaczynając od góry</t>
  </si>
  <si>
    <t>węgiel brunatny</t>
  </si>
  <si>
    <t>węgiel kamienny</t>
  </si>
  <si>
    <t>gaz wielkopiecowy</t>
  </si>
  <si>
    <t>gaz koksowniczy</t>
  </si>
  <si>
    <t>gaz rafineryjny</t>
  </si>
  <si>
    <t>półprodukty z przerobu ropy naftowej</t>
  </si>
  <si>
    <t>oleje opałowe</t>
  </si>
  <si>
    <t>olej napędowy (w tym olej opałowy lekki)</t>
  </si>
  <si>
    <t>paliwa odrzutowe</t>
  </si>
  <si>
    <t>benzyny lotnicze</t>
  </si>
  <si>
    <t>benzyny silnikowe</t>
  </si>
  <si>
    <t>gaz ciekły</t>
  </si>
  <si>
    <t>koks i połkoks (w tym gazowy)</t>
  </si>
  <si>
    <t>koks naftowy</t>
  </si>
  <si>
    <t>m3</t>
  </si>
  <si>
    <t>olej opałowy lekki</t>
  </si>
  <si>
    <t>inne produkty naftowe</t>
  </si>
  <si>
    <t>mln m3</t>
  </si>
  <si>
    <t>paliwa gazowe</t>
  </si>
  <si>
    <t>odpady komunalne - biogeniczne</t>
  </si>
  <si>
    <t>ton</t>
  </si>
  <si>
    <t>paliwa stałe</t>
  </si>
  <si>
    <t>Informacyjne ilości paliwa</t>
  </si>
  <si>
    <t>odpady przemysłowe</t>
  </si>
  <si>
    <t>biogaz</t>
  </si>
  <si>
    <t>gaz z odmetanowania kopalń</t>
  </si>
  <si>
    <t>gaz ziemny zaazotowany</t>
  </si>
  <si>
    <t>kg/GJ</t>
  </si>
  <si>
    <t>gaz ziemny wysokometanowy</t>
  </si>
  <si>
    <t>gaz ziemny</t>
  </si>
  <si>
    <t>ropa naftowa</t>
  </si>
  <si>
    <t>MJ/kg</t>
  </si>
  <si>
    <t>brykiety węgla brunatnego</t>
  </si>
  <si>
    <t>brykiety węgla kamiennego</t>
  </si>
  <si>
    <t>Tabela 14</t>
  </si>
  <si>
    <t>Wskaźniki emisji dla węgla kamiennego i brunatnego, obliczone w oparciu o średnie krajowe WO dla tych paliw</t>
  </si>
  <si>
    <t>Tabela 13</t>
  </si>
  <si>
    <t>Paliwa inne niż węgiel</t>
  </si>
  <si>
    <t>Tabela 12</t>
  </si>
  <si>
    <t>Rolnictwo/leśnictwo/rybołówstwo</t>
  </si>
  <si>
    <t>Tabela 11</t>
  </si>
  <si>
    <t>Tabela 10</t>
  </si>
  <si>
    <t>Tabela 9</t>
  </si>
  <si>
    <t>Produkcja artykułów spożywczych, napojów i wyrobów tytoniowych (dział 10, 11 i 12)</t>
  </si>
  <si>
    <t>Tabela 8</t>
  </si>
  <si>
    <t>Tabela 7</t>
  </si>
  <si>
    <t>Tabela 6</t>
  </si>
  <si>
    <t>Tabela 5</t>
  </si>
  <si>
    <t>Tabela 4</t>
  </si>
  <si>
    <t>Tabela 4 . Koksownie</t>
  </si>
  <si>
    <t>Koksownie</t>
  </si>
  <si>
    <t>Tabela 3</t>
  </si>
  <si>
    <t>Tabela 3 . Ciepłownie</t>
  </si>
  <si>
    <t>Produkcja ciepła w ciepłowniach</t>
  </si>
  <si>
    <t>Tabela 2</t>
  </si>
  <si>
    <t>Tabela 2 . Elektrociepłownie przemysłowe</t>
  </si>
  <si>
    <t>Produkcja energii elektrycznej i ciepła w elektrociepłowniach przemysłowych</t>
  </si>
  <si>
    <t>Tabela 1</t>
  </si>
  <si>
    <t>Tabela 1 . Elektrownie i elektrociepłownie zawodowe</t>
  </si>
  <si>
    <t>Produkcja energii elektrycznej i ciepła w elektrowniach i elektrociepłowniach zawodowych</t>
  </si>
  <si>
    <t>Ilość paliwa</t>
  </si>
  <si>
    <t>Współczyniki</t>
  </si>
  <si>
    <t>Wynik</t>
  </si>
  <si>
    <t>Substancja</t>
  </si>
  <si>
    <t>siarka</t>
  </si>
  <si>
    <r>
      <t>NO</t>
    </r>
    <r>
      <rPr>
        <b/>
        <vertAlign val="subscript"/>
        <sz val="10"/>
        <rFont val="Arial CE"/>
        <family val="2"/>
        <charset val="238"/>
      </rPr>
      <t>2</t>
    </r>
  </si>
  <si>
    <r>
      <t>CO</t>
    </r>
    <r>
      <rPr>
        <b/>
        <vertAlign val="subscript"/>
        <sz val="10"/>
        <rFont val="Arial CE"/>
        <family val="2"/>
        <charset val="238"/>
      </rPr>
      <t>2</t>
    </r>
  </si>
  <si>
    <t>2. Obliczenie wielkości emisji przed i po modernizacji kotłowni</t>
  </si>
  <si>
    <t>Rodzaj zanieczyszczenia</t>
  </si>
  <si>
    <t>Wielkość emisji w kg/rok</t>
  </si>
  <si>
    <t>Redukcja emisji</t>
  </si>
  <si>
    <t>Po modernizacji</t>
  </si>
  <si>
    <t>2-3 (kg/rok)</t>
  </si>
  <si>
    <t>4:2 (%)</t>
  </si>
  <si>
    <r>
      <t>Dwutlenek siarki (SO</t>
    </r>
    <r>
      <rPr>
        <vertAlign val="sub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</si>
  <si>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r>
      <t>Dwutlenek azotu (NO</t>
    </r>
    <r>
      <rPr>
        <vertAlign val="subscript"/>
        <sz val="10"/>
        <rFont val="Times New Roman CE"/>
        <family val="1"/>
        <charset val="238"/>
      </rPr>
      <t>x</t>
    </r>
    <r>
      <rPr>
        <sz val="10"/>
        <rFont val="Times New Roman CE"/>
        <family val="1"/>
        <charset val="238"/>
      </rPr>
      <t>)</t>
    </r>
  </si>
  <si>
    <r>
      <t>Dwutlenek wegla (CO</t>
    </r>
    <r>
      <rPr>
        <vertAlign val="subscript"/>
        <sz val="10"/>
        <rFont val="Times New Roman CE"/>
        <family val="1"/>
        <charset val="238"/>
      </rPr>
      <t>2</t>
    </r>
    <r>
      <rPr>
        <sz val="10"/>
        <rFont val="Times New Roman CE"/>
        <family val="1"/>
        <charset val="238"/>
      </rPr>
      <t>)</t>
    </r>
  </si>
  <si>
    <t>Przed  modernizacją</t>
  </si>
  <si>
    <t>Palnik pionowy</t>
  </si>
  <si>
    <t>Węzeł ciepła</t>
  </si>
  <si>
    <t>Czy jest węzeł</t>
  </si>
  <si>
    <t>przed</t>
  </si>
  <si>
    <t>po</t>
  </si>
  <si>
    <t>Węzeł ciepła - brak oliczeń KOBIZE</t>
  </si>
  <si>
    <t>węzeł ciepła</t>
  </si>
  <si>
    <t>gaz płynny skroplony</t>
  </si>
  <si>
    <t>m3 gazu skrolonego</t>
  </si>
  <si>
    <t>gaz płynny rozprężony</t>
  </si>
  <si>
    <t>Te współczynniki można zmieniać tak jak podaje beneficjent</t>
  </si>
  <si>
    <t xml:space="preserve">Zgodnie z KOBIZE wartość opałowa drewna wynosi </t>
  </si>
  <si>
    <t>Jeżeli beneficjent podaje inaczej to tutaj można to zmienić</t>
  </si>
  <si>
    <t>Produkcja żelaza i stali(grupy z działu 24 z wyjątkiem grup wymienionych poniżej - w tabeli 6)</t>
  </si>
  <si>
    <t>Produkcja metali metali nieżelaznych (grupy: 24.4, 24.53, 24.54)</t>
  </si>
  <si>
    <t>Przemysł chemiczny (dział 20 i 21)</t>
  </si>
  <si>
    <t>Produkcja papiernicza oraz działalność wydawnicza i poligraficzna (dział 17 i 18)</t>
  </si>
  <si>
    <t>Inna działalność - sekcji B (górnictwo i wydobywanie) działy: 07, 08, 09.9, z sekcji C (przetwórstwo przemysłowe) działy : 13-16, 22, 23, 25-32 oraz sekcja F (budownictwo) działy: 41-43</t>
  </si>
  <si>
    <t>Instytucje/handel/usługi</t>
  </si>
  <si>
    <t>Tabela 6 . Przemysł metali nieżelaznych (grupy: 24.4, 24.53, 24.54)</t>
  </si>
  <si>
    <t>Tabela 7 . Przemysł chemiczny (dział 20 i 21)</t>
  </si>
  <si>
    <t>Tabela 8 . Przemysł papierniczy i poligraficzny (dział 17 i 18)</t>
  </si>
  <si>
    <t>Tabela 9 .Przemysł spożywczy (dział 10, 11 i 12)</t>
  </si>
  <si>
    <t>odpady komunalne - niebiogeniczne</t>
  </si>
  <si>
    <t>drewno opałowe i odpady pochodzenia drzewnego, biomasa</t>
  </si>
  <si>
    <t>Podaj sprawność instalacji redukcji:</t>
  </si>
  <si>
    <r>
      <t>SO</t>
    </r>
    <r>
      <rPr>
        <vertAlign val="subscript"/>
        <sz val="11"/>
        <color theme="1"/>
        <rFont val="Czcionka tekstu podstawowego"/>
        <charset val="238"/>
      </rPr>
      <t>2</t>
    </r>
  </si>
  <si>
    <r>
      <t>NO</t>
    </r>
    <r>
      <rPr>
        <vertAlign val="subscript"/>
        <sz val="11"/>
        <color theme="1"/>
        <rFont val="Czcionka tekstu podstawowego"/>
        <charset val="238"/>
      </rPr>
      <t>x</t>
    </r>
  </si>
  <si>
    <t>Pyłu</t>
  </si>
  <si>
    <t>Podaj zawartość siarki całkowitej w paliwie (w %)</t>
  </si>
  <si>
    <t>Węgiel kamienny</t>
  </si>
  <si>
    <t>Paliwa ciekłe</t>
  </si>
  <si>
    <t>Drewno (biomasa)</t>
  </si>
  <si>
    <t>Pozostałe</t>
  </si>
  <si>
    <t>Wydajność cieplna od 1,0 do 5,5 MW</t>
  </si>
  <si>
    <t>Gaz ziemny wysokometanowy ( E )</t>
  </si>
  <si>
    <t>Gaz ziemny zaazotowany</t>
  </si>
  <si>
    <t>Wydajność cieplna poniżej 1,0 MW</t>
  </si>
  <si>
    <t>Węzeł</t>
  </si>
  <si>
    <t>Olej</t>
  </si>
  <si>
    <t>Pionowy</t>
  </si>
  <si>
    <t>Poziomy</t>
  </si>
  <si>
    <t>Gaz wysokometanowy</t>
  </si>
  <si>
    <t>Gaz zaazotowany</t>
  </si>
  <si>
    <t>Biomasa</t>
  </si>
  <si>
    <t>brak</t>
  </si>
  <si>
    <t>KOBIZE</t>
  </si>
  <si>
    <t>Dla drewna, zgodnie z wytycznymi przyjęto następujące wskaźniki zanieczyszceń :</t>
  </si>
  <si>
    <t>Q&lt;=1,0 MW</t>
  </si>
  <si>
    <t>od 1,0 do 5,5 MW</t>
  </si>
  <si>
    <t>OA-I</t>
  </si>
  <si>
    <t>OCHRONA POWIETRZA - MODERNIZACJA KOTŁOWNI</t>
  </si>
  <si>
    <t>(nazwa przedsięwzięcia)</t>
  </si>
  <si>
    <t>Wyszczególnienie</t>
  </si>
  <si>
    <t>Przed modernizacją</t>
  </si>
  <si>
    <t>Kocioł (rodzaj, typ)</t>
  </si>
  <si>
    <t>Moc kotłów (kW)</t>
  </si>
  <si>
    <t>Rodzaj rusztu</t>
  </si>
  <si>
    <t>Rodzaj palników (dla gazu)</t>
  </si>
  <si>
    <t>Rodzaj ciągu:</t>
  </si>
  <si>
    <t>Sprawność instalacji odpylającej</t>
  </si>
  <si>
    <t>Wartośc opałowa (WO)**</t>
  </si>
  <si>
    <t xml:space="preserve">Roczne zużycie paliwa (P) </t>
  </si>
  <si>
    <t>Roczna produkcja ciepła (RPC)</t>
  </si>
  <si>
    <t>Wskaźnik emisji (WE)**</t>
  </si>
  <si>
    <t>Przed  modernizacja</t>
  </si>
  <si>
    <r>
      <t>Dwutlenek wegla (CO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)                  (RPC x WE)</t>
    </r>
  </si>
  <si>
    <t>Przyjeta do obliczeń tabela wg. KOBIZE:</t>
  </si>
  <si>
    <r>
      <t>Zawartość Siarki całkowitej</t>
    </r>
    <r>
      <rPr>
        <vertAlign val="subscript"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w paliwie (%)</t>
    </r>
  </si>
  <si>
    <t>Zawartość popiołu Ar w paliwie (%)</t>
  </si>
  <si>
    <t>Zawartość części palnych w pyle - k (%)</t>
  </si>
  <si>
    <t>stałe - w Mg/rok</t>
  </si>
  <si>
    <r>
      <t>olej - w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/rok</t>
    </r>
  </si>
  <si>
    <r>
      <t>Dwutlenek siarki (SO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)</t>
    </r>
  </si>
  <si>
    <r>
      <t>Dwutlenek azotu (NO</t>
    </r>
    <r>
      <rPr>
        <vertAlign val="subscript"/>
        <sz val="10"/>
        <rFont val="Calibri"/>
        <family val="2"/>
        <charset val="238"/>
        <scheme val="minor"/>
      </rPr>
      <t>x</t>
    </r>
    <r>
      <rPr>
        <sz val="10"/>
        <rFont val="Calibri"/>
        <family val="2"/>
        <charset val="238"/>
        <scheme val="minor"/>
      </rPr>
      <t>)</t>
    </r>
  </si>
  <si>
    <t>………………………………………………………………</t>
  </si>
  <si>
    <t>Podpisy i pieczątki osób reprezentujących</t>
  </si>
  <si>
    <t>Jednostkę przy dokonywaniu czynności prawnych</t>
  </si>
  <si>
    <t>miejscowość</t>
  </si>
  <si>
    <r>
      <t xml:space="preserve">1 </t>
    </r>
    <r>
      <rPr>
        <sz val="9"/>
        <rFont val="Calibri"/>
        <family val="2"/>
        <charset val="238"/>
        <scheme val="minor"/>
      </rPr>
      <t>Wyłącznie na potrzeby statystyczne WFOŚiGW</t>
    </r>
  </si>
  <si>
    <r>
      <t>**</t>
    </r>
    <r>
      <rPr>
        <sz val="9"/>
        <rFont val="Calibri"/>
        <family val="2"/>
        <charset val="238"/>
        <scheme val="minor"/>
      </rPr>
      <t xml:space="preserve"> wg KOBIZE "Wartości opałowe (WO) i wskaźniki emisji CO2 (WE) w roku 2012 do raportowania w ramach Wspólnotowego Systemu Handlu Uprawnieniami do Emisji za rok 2015"</t>
    </r>
  </si>
  <si>
    <r>
      <t>***</t>
    </r>
    <r>
      <rPr>
        <sz val="9"/>
        <rFont val="Calibri"/>
        <family val="2"/>
        <charset val="238"/>
        <scheme val="minor"/>
      </rPr>
      <t xml:space="preserve"> wg "Zestawienia wzorów i wskaźników emisji substancji zanieczyszczających wprowadzanych do powietrza" dostępnego na stronie internetowej WFOŚiGW w Poznaniu www.wfosigw.poznan.pl </t>
    </r>
  </si>
  <si>
    <t>NIE DOTYCZY</t>
  </si>
  <si>
    <r>
      <t>EFEKT RZECZOWY i EKOLOGICZNY</t>
    </r>
    <r>
      <rPr>
        <vertAlign val="superscript"/>
        <sz val="11"/>
        <rFont val="Calibri"/>
        <family val="2"/>
        <charset val="238"/>
        <scheme val="minor"/>
      </rPr>
      <t>[1]</t>
    </r>
  </si>
  <si>
    <t>1. Charakterystyka modernizowanej kotłowni</t>
  </si>
  <si>
    <t>Nazwa przedsiewzięcia</t>
  </si>
  <si>
    <t>Rodzaj, typ kotła</t>
  </si>
  <si>
    <t>Osoba przygotowująca dokument</t>
  </si>
  <si>
    <t>Telefon kontaktowy</t>
  </si>
  <si>
    <t>Miejscowość</t>
  </si>
  <si>
    <t>data sporządzenia</t>
  </si>
  <si>
    <t xml:space="preserve">opracował </t>
  </si>
  <si>
    <t>numer telefonu</t>
  </si>
  <si>
    <r>
      <t>gaz - w mln m</t>
    </r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>/rok</t>
    </r>
  </si>
  <si>
    <t>Moc kotła [kW]</t>
  </si>
  <si>
    <t>Roczne zużycie paliwa:</t>
  </si>
  <si>
    <r>
      <t>3. Obliczenie wielkości emisji SO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NO</t>
    </r>
    <r>
      <rPr>
        <vertAlign val="subscript"/>
        <sz val="11"/>
        <rFont val="Calibri"/>
        <family val="2"/>
        <charset val="238"/>
        <scheme val="minor"/>
      </rPr>
      <t>X</t>
    </r>
    <r>
      <rPr>
        <sz val="11"/>
        <rFont val="Calibri"/>
        <family val="2"/>
        <charset val="238"/>
        <scheme val="minor"/>
      </rPr>
      <t>, CO, PYŁU przed i po modernizacji kotłowni:</t>
    </r>
    <r>
      <rPr>
        <sz val="11"/>
        <rFont val="Calibri"/>
        <family val="2"/>
        <charset val="238"/>
        <scheme val="minor"/>
      </rPr>
      <t>***</t>
    </r>
  </si>
  <si>
    <r>
      <t>2. Obliczenie wielkości emisji CO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przed i po modernizacji kotłowni:</t>
    </r>
  </si>
  <si>
    <t>Rodzaj paliwa</t>
  </si>
  <si>
    <r>
      <t>3. Obliczenie wielkości emisji CO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przed i po modernizacji kotłowni:</t>
    </r>
  </si>
  <si>
    <t>Węglowy</t>
  </si>
  <si>
    <t>Koksowy</t>
  </si>
  <si>
    <t>Olejowy</t>
  </si>
  <si>
    <t>Gazowy</t>
  </si>
  <si>
    <t>Na biomasę</t>
  </si>
  <si>
    <t>Rodzaj kotła:</t>
  </si>
  <si>
    <t>Typ kotła:</t>
  </si>
  <si>
    <t>Moc kotłów (kW):</t>
  </si>
  <si>
    <t>Rodzaj paliwa:</t>
  </si>
  <si>
    <t>Rodzaj rusztu:</t>
  </si>
  <si>
    <t>Rodzaj palników (dla gazu):</t>
  </si>
  <si>
    <t>Wydajność cieplna kotła:</t>
  </si>
  <si>
    <t>Data sporządzenia efektu generowana jest automatycznie</t>
  </si>
  <si>
    <t>Roczna produkcja ciepła (RPC) [GJ/rok]</t>
  </si>
  <si>
    <t>Wskaźnik emisji (WE) [kg/GJ]</t>
  </si>
  <si>
    <r>
      <t xml:space="preserve">1 </t>
    </r>
    <r>
      <rPr>
        <sz val="8"/>
        <color theme="0" tint="-0.499984740745262"/>
        <rFont val="Calibri"/>
        <family val="2"/>
        <charset val="238"/>
        <scheme val="minor"/>
      </rPr>
      <t>Wyłącznie na potrzeby statystyczne WFOŚiGW</t>
    </r>
  </si>
  <si>
    <t>Tabela 5 . Produkcja żelaza i stali (grupy  działu 24  z wyjątkiem grup wymienionych w w tabeli 6)</t>
  </si>
  <si>
    <t>Tabela</t>
  </si>
  <si>
    <t>nr wartości opałowej</t>
  </si>
  <si>
    <t>WO</t>
  </si>
  <si>
    <t>WE</t>
  </si>
  <si>
    <t>Gęstość oleju</t>
  </si>
  <si>
    <t>Olej napędowy</t>
  </si>
  <si>
    <r>
      <t>Gęstość oleju opłaowego została przyjeta na poziomie 860 kg/m</t>
    </r>
    <r>
      <rPr>
        <vertAlign val="superscript"/>
        <sz val="18"/>
        <color theme="1"/>
        <rFont val="Czcionka tekstu podstawowego"/>
        <charset val="238"/>
      </rPr>
      <t>3</t>
    </r>
  </si>
  <si>
    <t>Najpierw wypełniamy kolumnę "Przed modernizacją" a następnie "Po modernizacji"</t>
  </si>
  <si>
    <r>
      <t>MJ/m</t>
    </r>
    <r>
      <rPr>
        <vertAlign val="superscript"/>
        <sz val="11"/>
        <color theme="1"/>
        <rFont val="Czcionka tekstu podstawowego"/>
        <charset val="238"/>
      </rPr>
      <t>3</t>
    </r>
  </si>
  <si>
    <t>Q&gt;=5,5 MW</t>
  </si>
  <si>
    <t>Wydajność cieplna powyżej 5,5 MW</t>
  </si>
  <si>
    <t>OA-IV</t>
  </si>
  <si>
    <r>
      <t xml:space="preserve">OCHRONA POWIETRZA - ODNAWIALNE ŹRODŁA ENERGII </t>
    </r>
    <r>
      <rPr>
        <sz val="8"/>
        <rFont val="Calibri"/>
        <family val="2"/>
        <charset val="238"/>
        <scheme val="minor"/>
      </rPr>
      <t>ORAZ</t>
    </r>
    <r>
      <rPr>
        <sz val="10"/>
        <rFont val="Calibri"/>
        <family val="2"/>
        <charset val="238"/>
        <scheme val="minor"/>
      </rPr>
      <t xml:space="preserve"> OSZCZĘDNOŚĆ ENERGII ELEKTRYCZNEJ </t>
    </r>
    <r>
      <rPr>
        <sz val="8"/>
        <rFont val="Calibri"/>
        <family val="2"/>
        <charset val="238"/>
        <scheme val="minor"/>
      </rPr>
      <t>LUB</t>
    </r>
    <r>
      <rPr>
        <sz val="10"/>
        <rFont val="Calibri"/>
        <family val="2"/>
        <charset val="238"/>
        <scheme val="minor"/>
      </rPr>
      <t xml:space="preserve"> CIEPLNEJ</t>
    </r>
  </si>
  <si>
    <t>2. Dane techniczne:</t>
  </si>
  <si>
    <t>Moc znamionowa</t>
  </si>
  <si>
    <t>kW</t>
  </si>
  <si>
    <t>Podstawowe dane techniczne urządzenia:</t>
  </si>
  <si>
    <t>Kolektory słoneczne</t>
  </si>
  <si>
    <t>Panele fotowoltaiczne</t>
  </si>
  <si>
    <t>Pompy ciepła</t>
  </si>
  <si>
    <t>COP</t>
  </si>
  <si>
    <t>Rekuperator</t>
  </si>
  <si>
    <t>Sprawność odzysku (%)</t>
  </si>
  <si>
    <t>Inne:</t>
  </si>
  <si>
    <t>Produkcja energii cieplnej z OZE [GJ/rok]</t>
  </si>
  <si>
    <t>Produkcja energii elektrycznej z OZE [MWh/rok]</t>
  </si>
  <si>
    <t>Zużycie energii elektrycznej do wytworzenia energii cieplnej i/lub energii elektrycznej z OZE [MWh/rok]</t>
  </si>
  <si>
    <r>
      <t xml:space="preserve">4. Efekt ekologiczny - oszczędność energii elektrycznej: </t>
    </r>
    <r>
      <rPr>
        <sz val="8"/>
        <rFont val="Calibri"/>
        <family val="2"/>
        <charset val="238"/>
        <scheme val="minor"/>
      </rPr>
      <t>(m. in. wymiana oświetlenia)</t>
    </r>
  </si>
  <si>
    <t>Roczne zużycie energii przed modernizacją [MWh/rok]</t>
  </si>
  <si>
    <t>Roczne zużycie energii po modernizacji [MWh/rok]</t>
  </si>
  <si>
    <t>Oszczędność w zużyciu energii [MWh/rok]</t>
  </si>
  <si>
    <r>
      <t xml:space="preserve">5. Efekt ekologiczny: </t>
    </r>
    <r>
      <rPr>
        <sz val="8"/>
        <rFont val="Calibri"/>
        <family val="2"/>
        <charset val="238"/>
        <scheme val="minor"/>
      </rPr>
      <t>(dla istniejących budynków zasilanych z sieci cieplnych)</t>
    </r>
  </si>
  <si>
    <t>Roczne zużycie ciepła przed instalacją OZE [GJ/rok]</t>
  </si>
  <si>
    <t>Roczne zużycie energii elektrycznej do wyprodukowania energii OZE [MWh/rok]</t>
  </si>
  <si>
    <t>Produkcja energii cieplnej lub elektrycznej w OZE</t>
  </si>
  <si>
    <t>Zużycie ciepła po instalacji OZE</t>
  </si>
  <si>
    <r>
      <t>Dwutlenek wegla (CO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>) (RPC x WE)</t>
    </r>
  </si>
  <si>
    <t>Tabela 10. Produkcja wyrobów z pozostałaych mineralnych surowców niemetalicznych (dział 23)</t>
  </si>
  <si>
    <t>Produkcja wyrobów z pozostałaych mineralnych surowców niemetalicznych (dział 23)</t>
  </si>
  <si>
    <t>Tabela 15</t>
  </si>
  <si>
    <t>Tabela 11 . Inne przemysły</t>
  </si>
  <si>
    <t>Tabela 12 . Instytucje/handel/usługi</t>
  </si>
  <si>
    <t>Tabela 13 . Rolnictwo, leśnictwo i rybołówstwo</t>
  </si>
  <si>
    <t>GJ/rok</t>
  </si>
  <si>
    <t>Wskaźnik emisyjności CO2 dla energii elektrycznej</t>
  </si>
  <si>
    <t>MgCO2/MWh</t>
  </si>
  <si>
    <t>MWh/rok</t>
  </si>
  <si>
    <t>Wskaźnik emisyjności CO2 dla energii cieplnej</t>
  </si>
  <si>
    <t>Sprawność instalacji odpylającej n %</t>
  </si>
  <si>
    <t>Należy wybrać arkusz odpowiadający zakresowi realizowanego przedsięwzięcia, tj. np. Efekt OA-II.</t>
  </si>
  <si>
    <t>Jeżeli wszystkie pola są poprawnie wypełnione, tj. nie posiadają znaku "#N/D!" lub "#ARG!" można wydrukować wybrany arkusz</t>
  </si>
  <si>
    <t>Efekty ekologiczne:</t>
  </si>
  <si>
    <t>OA-IV – odnawialne źródła energii i oszczędność energii  – druk dotyczy montażu urządzeń związanych z energetyką odnawialną oraz oszczędności energii elektrycznej lub cieplnej;</t>
  </si>
  <si>
    <t>OA-I – modernizacja kotłowni  – druk dotyczy modernizacji kotłowni indywidualnych, zbiorczych (osiedlowych). W przypadku wykonywania modernizacji kotłowni i montażu OZE w jednym przedsięwzięciu, zakres OZE podajemy na druku OA-IV;</t>
  </si>
  <si>
    <t>Dla gazu wysokometanowego i zaazotowanego, S przyjmujemy równe 0 (zero)</t>
  </si>
  <si>
    <r>
      <t>Zawartość Siarki całkowitej</t>
    </r>
    <r>
      <rPr>
        <vertAlign val="subscript"/>
        <sz val="1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w paliwie - S (%)</t>
    </r>
  </si>
  <si>
    <t>Zawartość popiołu w paliwie - A (%)</t>
  </si>
  <si>
    <r>
      <t xml:space="preserve">3. Efekt ekologiczny: </t>
    </r>
    <r>
      <rPr>
        <sz val="8"/>
        <rFont val="Calibri"/>
        <family val="2"/>
        <charset val="238"/>
        <scheme val="minor"/>
      </rPr>
      <t>(dla pomp ciepła dla nowobudowanych budynków, wiatraków, ogniw fotowoltaicznych, elektrowni wodnych, oświetlenia hybrydowego, układów kogeneracyjnych)</t>
    </r>
  </si>
  <si>
    <t>Pompa ciepła</t>
  </si>
  <si>
    <t>Brak oliczeń KOBIZE</t>
  </si>
  <si>
    <t>Tabela 16. Wartości opałowe i wskaźniki emisji dla pozostałych paliw</t>
  </si>
  <si>
    <t>Tabela 17. Wskaźniki emisji dla węgla kamiennego i brunatnego, obliczone w oparciu o średnie krajowe WO dla tych paliw</t>
  </si>
  <si>
    <t>Tabela 16</t>
  </si>
  <si>
    <t>Tabela 17</t>
  </si>
  <si>
    <t>Tabela 14. Wartości opałowe i wskaźniki emisji dla gazu ziemnego spalanego w sektorach wymienionych w tabelach 1-11</t>
  </si>
  <si>
    <t>Tabela 15. Wartości opałowe i wskaźniki emisji dla gazu ziemnego spalanego w sektorach wymienionych w tabelach 12-13</t>
  </si>
  <si>
    <r>
      <t>2. Obliczenie wielkości emisji SO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, NO</t>
    </r>
    <r>
      <rPr>
        <vertAlign val="subscript"/>
        <sz val="11"/>
        <rFont val="Calibri"/>
        <family val="2"/>
        <charset val="238"/>
        <scheme val="minor"/>
      </rPr>
      <t>X</t>
    </r>
    <r>
      <rPr>
        <sz val="11"/>
        <rFont val="Calibri"/>
        <family val="2"/>
        <charset val="238"/>
        <scheme val="minor"/>
      </rPr>
      <t>, CO, PYŁU przed i po modernizacji kotłowni:**</t>
    </r>
  </si>
  <si>
    <r>
      <t>**</t>
    </r>
    <r>
      <rPr>
        <sz val="8"/>
        <color theme="0" tint="-0.499984740745262"/>
        <rFont val="Calibri"/>
        <family val="2"/>
        <charset val="238"/>
        <scheme val="minor"/>
      </rPr>
      <t xml:space="preserve"> wg "Zestawienia wzorów i wskaźników emisji substancji zanieczyszczających wprowadzanych do powietrza" dostępnego na stronie internetowej WFOŚiGW w Poznaniu www.wfosigw.poznan.pl </t>
    </r>
  </si>
  <si>
    <t>Wartośc opałowa (WO)*</t>
  </si>
  <si>
    <r>
      <t xml:space="preserve">1. Rodzaj urządzenia do produkcji energii: </t>
    </r>
    <r>
      <rPr>
        <sz val="8"/>
        <rFont val="Calibri"/>
        <family val="2"/>
        <charset val="238"/>
        <scheme val="minor"/>
      </rPr>
      <t>(wymienić)</t>
    </r>
  </si>
  <si>
    <r>
      <t>Redukcja lub uniknięcie emisji CO</t>
    </r>
    <r>
      <rPr>
        <vertAlign val="subscript"/>
        <sz val="10"/>
        <rFont val="Calibri"/>
        <family val="2"/>
        <charset val="238"/>
        <scheme val="minor"/>
      </rPr>
      <t>2</t>
    </r>
    <r>
      <rPr>
        <sz val="10"/>
        <rFont val="Calibri"/>
        <family val="2"/>
        <charset val="238"/>
        <scheme val="minor"/>
      </rPr>
      <t xml:space="preserve"> [Mg/rok]</t>
    </r>
  </si>
  <si>
    <t>olej opałowy</t>
  </si>
  <si>
    <t>szt.</t>
  </si>
  <si>
    <r>
      <t>m</t>
    </r>
    <r>
      <rPr>
        <vertAlign val="superscript"/>
        <sz val="8"/>
        <rFont val="Calibri"/>
        <family val="2"/>
        <charset val="238"/>
        <scheme val="minor"/>
      </rPr>
      <t>2</t>
    </r>
    <r>
      <rPr>
        <sz val="8"/>
        <rFont val="Calibri"/>
        <family val="2"/>
        <charset val="238"/>
        <scheme val="minor"/>
      </rPr>
      <t>/szt.</t>
    </r>
  </si>
  <si>
    <t>Energia elektryczna</t>
  </si>
  <si>
    <t>Minimalny uzysk energii [kWh/(kWp x rok)]</t>
  </si>
  <si>
    <t>Czy minimalny uzysk spełnia wymagania techniczne?</t>
  </si>
  <si>
    <r>
      <t>6. Obliczenie wielkości emisji CO</t>
    </r>
    <r>
      <rPr>
        <vertAlign val="sub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przed i po modernizacji:*</t>
    </r>
  </si>
  <si>
    <t>*WE = 0 wg wytycznych KOBIZE 2022</t>
  </si>
  <si>
    <r>
      <t>*</t>
    </r>
    <r>
      <rPr>
        <sz val="8"/>
        <color theme="0" tint="-0.499984740745262"/>
        <rFont val="Calibri"/>
        <family val="2"/>
        <charset val="238"/>
        <scheme val="minor"/>
      </rPr>
      <t xml:space="preserve"> wg KOBIZE "Wartości opałowe (WO) i wskaźniki emisji CO2 (WE) w roku 2019 do raportowania w ramach Systemu Handlu Uprawnieniami do Emisji za rok 2022"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</si>
</sst>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00"/>
    <numFmt numFmtId="165" formatCode="0.0"/>
    <numFmt numFmtId="166" formatCode="0.00000"/>
    <numFmt numFmtId="167" formatCode="#,##0.0"/>
    <numFmt numFmtId="168" formatCode="[$-415]d\ mmmm\ yyyy;@"/>
    <numFmt numFmtId="169" formatCode="#,##0.000000"/>
    <numFmt numFmtId="170" formatCode="yyyy/mm/dd;@"/>
    <numFmt numFmtId="171" formatCode="#,##0.000"/>
  </numFmts>
  <fonts count="5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vertAlign val="subscript"/>
      <sz val="10"/>
      <name val="Arial CE"/>
      <charset val="238"/>
    </font>
    <font>
      <b/>
      <sz val="11"/>
      <color theme="1"/>
      <name val="Czcionka tekstu podstawowego"/>
      <charset val="238"/>
    </font>
    <font>
      <b/>
      <sz val="16"/>
      <color theme="1"/>
      <name val="Czcionka tekstu podstawowego"/>
      <charset val="238"/>
    </font>
    <font>
      <sz val="11"/>
      <name val="Calibri"/>
      <family val="2"/>
      <charset val="238"/>
      <scheme val="minor"/>
    </font>
    <font>
      <vertAlign val="subscript"/>
      <sz val="11"/>
      <name val="Calibri"/>
      <family val="2"/>
      <charset val="238"/>
      <scheme val="minor"/>
    </font>
    <font>
      <sz val="14"/>
      <color theme="1"/>
      <name val="Czcionka tekstu podstawowego"/>
      <family val="2"/>
      <charset val="238"/>
    </font>
    <font>
      <sz val="11"/>
      <name val="Czcionka tekstu podstawowego"/>
      <family val="2"/>
      <charset val="238"/>
    </font>
    <font>
      <b/>
      <sz val="10"/>
      <name val="Arial CE"/>
      <charset val="238"/>
    </font>
    <font>
      <b/>
      <sz val="14"/>
      <name val="Czcionka tekstu podstawowego"/>
      <charset val="238"/>
    </font>
    <font>
      <b/>
      <sz val="11"/>
      <name val="Czcionka tekstu podstawowego"/>
      <charset val="238"/>
    </font>
    <font>
      <sz val="11"/>
      <name val="Czcionka tekstu podstawowego"/>
      <charset val="238"/>
    </font>
    <font>
      <b/>
      <sz val="18"/>
      <name val="Czcionka tekstu podstawowego"/>
      <charset val="238"/>
    </font>
    <font>
      <b/>
      <sz val="16"/>
      <name val="Czcionka tekstu podstawowego"/>
      <charset val="238"/>
    </font>
    <font>
      <b/>
      <sz val="13"/>
      <name val="Czcionka tekstu podstawowego"/>
      <charset val="238"/>
    </font>
    <font>
      <b/>
      <sz val="13"/>
      <color theme="1"/>
      <name val="Czcionka tekstu podstawowego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b/>
      <vertAlign val="subscript"/>
      <sz val="10"/>
      <name val="Arial CE"/>
      <family val="2"/>
      <charset val="238"/>
    </font>
    <font>
      <vertAlign val="subscript"/>
      <sz val="10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color theme="1"/>
      <name val="Czcionka tekstu podstawowego"/>
      <family val="2"/>
      <charset val="238"/>
    </font>
    <font>
      <b/>
      <sz val="10"/>
      <name val="Czcionka tekstu podstawowego"/>
      <charset val="238"/>
    </font>
    <font>
      <vertAlign val="subscript"/>
      <sz val="11"/>
      <color theme="1"/>
      <name val="Czcionka tekstu podstawowego"/>
      <charset val="238"/>
    </font>
    <font>
      <b/>
      <sz val="11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bscript"/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8"/>
      <color theme="1"/>
      <name val="Czcionka tekstu podstawowego"/>
      <family val="2"/>
      <charset val="238"/>
    </font>
    <font>
      <vertAlign val="superscript"/>
      <sz val="8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8"/>
      <color theme="0" tint="-0.499984740745262"/>
      <name val="Czcionka tekstu podstawowego"/>
      <family val="2"/>
      <charset val="238"/>
    </font>
    <font>
      <sz val="10"/>
      <name val="Czcionka tekstu podstawowego"/>
      <charset val="238"/>
    </font>
    <font>
      <vertAlign val="superscript"/>
      <sz val="18"/>
      <color theme="1"/>
      <name val="Czcionka tekstu podstawowego"/>
      <charset val="238"/>
    </font>
    <font>
      <vertAlign val="superscript"/>
      <sz val="11"/>
      <color theme="1"/>
      <name val="Czcionka tekstu podstawowego"/>
      <charset val="238"/>
    </font>
    <font>
      <sz val="10"/>
      <color theme="1"/>
      <name val="Czcionka tekstu podstawowego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10"/>
      <color theme="1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/>
      <right/>
      <top/>
      <bottom/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 diagonalUp="1"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9">
    <xf numFmtId="0" fontId="0" fillId="0" borderId="0"/>
    <xf numFmtId="0" fontId="4" fillId="0" borderId="0"/>
    <xf numFmtId="0" fontId="5" fillId="0" borderId="0"/>
    <xf numFmtId="0" fontId="3" fillId="0" borderId="0"/>
    <xf numFmtId="9" fontId="3" fillId="0" borderId="0" applyFont="0" applyFill="0" applyBorder="0" applyAlignment="0" applyProtection="0"/>
    <xf numFmtId="0" fontId="5" fillId="0" borderId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380">
    <xf numFmtId="0" fontId="0" fillId="0" borderId="0" xfId="0"/>
    <xf numFmtId="0" fontId="0" fillId="0" borderId="0" xfId="0" applyProtection="1"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4" fillId="0" borderId="0" xfId="1" applyAlignment="1" applyProtection="1">
      <alignment horizontal="center" vertical="center" wrapText="1"/>
      <protection hidden="1"/>
    </xf>
    <xf numFmtId="0" fontId="5" fillId="0" borderId="0" xfId="2" applyAlignment="1" applyProtection="1">
      <alignment horizontal="center"/>
      <protection hidden="1"/>
    </xf>
    <xf numFmtId="0" fontId="6" fillId="0" borderId="0" xfId="2" applyFont="1" applyProtection="1">
      <protection hidden="1"/>
    </xf>
    <xf numFmtId="0" fontId="5" fillId="0" borderId="0" xfId="2" applyAlignment="1" applyProtection="1">
      <alignment horizontal="center" vertical="center"/>
      <protection hidden="1"/>
    </xf>
    <xf numFmtId="0" fontId="3" fillId="0" borderId="0" xfId="3" applyProtection="1">
      <protection hidden="1"/>
    </xf>
    <xf numFmtId="0" fontId="0" fillId="0" borderId="0" xfId="0" quotePrefix="1" applyAlignment="1" applyProtection="1">
      <alignment horizontal="right"/>
      <protection hidden="1"/>
    </xf>
    <xf numFmtId="0" fontId="0" fillId="0" borderId="0" xfId="0" quotePrefix="1" applyProtection="1">
      <protection hidden="1"/>
    </xf>
    <xf numFmtId="0" fontId="10" fillId="0" borderId="1" xfId="0" applyFont="1" applyBorder="1" applyProtection="1">
      <protection hidden="1"/>
    </xf>
    <xf numFmtId="164" fontId="10" fillId="0" borderId="1" xfId="0" applyNumberFormat="1" applyFont="1" applyBorder="1" applyAlignment="1" applyProtection="1">
      <alignment horizontal="right"/>
      <protection hidden="1"/>
    </xf>
    <xf numFmtId="0" fontId="0" fillId="0" borderId="1" xfId="0" applyBorder="1" applyProtection="1">
      <protection hidden="1"/>
    </xf>
    <xf numFmtId="0" fontId="13" fillId="0" borderId="0" xfId="0" applyFont="1" applyProtection="1">
      <protection hidden="1"/>
    </xf>
    <xf numFmtId="0" fontId="14" fillId="0" borderId="1" xfId="5" applyFont="1" applyBorder="1" applyProtection="1">
      <protection hidden="1"/>
    </xf>
    <xf numFmtId="0" fontId="14" fillId="0" borderId="1" xfId="5" applyFont="1" applyBorder="1" applyAlignment="1" applyProtection="1">
      <alignment horizontal="center"/>
      <protection hidden="1"/>
    </xf>
    <xf numFmtId="0" fontId="16" fillId="0" borderId="0" xfId="0" applyFont="1" applyProtection="1">
      <protection hidden="1"/>
    </xf>
    <xf numFmtId="0" fontId="5" fillId="0" borderId="1" xfId="5" applyBorder="1" applyProtection="1">
      <protection hidden="1"/>
    </xf>
    <xf numFmtId="0" fontId="13" fillId="0" borderId="1" xfId="0" applyFont="1" applyBorder="1" applyProtection="1">
      <protection hidden="1"/>
    </xf>
    <xf numFmtId="0" fontId="5" fillId="0" borderId="1" xfId="5" applyBorder="1" applyAlignment="1" applyProtection="1">
      <alignment horizont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 indent="23"/>
      <protection hidden="1"/>
    </xf>
    <xf numFmtId="164" fontId="13" fillId="0" borderId="0" xfId="0" applyNumberFormat="1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23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0" borderId="21" xfId="0" applyBorder="1" applyAlignment="1" applyProtection="1">
      <alignment horizontal="center" vertical="center"/>
      <protection hidden="1"/>
    </xf>
    <xf numFmtId="0" fontId="5" fillId="0" borderId="10" xfId="2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164" fontId="0" fillId="0" borderId="10" xfId="0" applyNumberFormat="1" applyBorder="1" applyProtection="1">
      <protection hidden="1"/>
    </xf>
    <xf numFmtId="0" fontId="5" fillId="0" borderId="1" xfId="2" applyBorder="1" applyAlignment="1" applyProtection="1">
      <alignment horizontal="center"/>
      <protection hidden="1"/>
    </xf>
    <xf numFmtId="164" fontId="0" fillId="0" borderId="1" xfId="0" applyNumberFormat="1" applyBorder="1" applyProtection="1">
      <protection hidden="1"/>
    </xf>
    <xf numFmtId="0" fontId="0" fillId="0" borderId="0" xfId="0" applyAlignment="1" applyProtection="1">
      <alignment horizontal="left"/>
      <protection hidden="1"/>
    </xf>
    <xf numFmtId="0" fontId="5" fillId="0" borderId="16" xfId="2" applyBorder="1" applyAlignment="1" applyProtection="1">
      <alignment horizontal="center"/>
      <protection hidden="1"/>
    </xf>
    <xf numFmtId="0" fontId="0" fillId="0" borderId="16" xfId="0" applyBorder="1" applyProtection="1">
      <protection hidden="1"/>
    </xf>
    <xf numFmtId="164" fontId="0" fillId="0" borderId="16" xfId="0" applyNumberFormat="1" applyBorder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top"/>
      <protection hidden="1"/>
    </xf>
    <xf numFmtId="0" fontId="23" fillId="0" borderId="2" xfId="0" applyFont="1" applyBorder="1" applyProtection="1">
      <protection hidden="1"/>
    </xf>
    <xf numFmtId="0" fontId="0" fillId="0" borderId="4" xfId="0" applyBorder="1" applyProtection="1">
      <protection hidden="1"/>
    </xf>
    <xf numFmtId="0" fontId="23" fillId="0" borderId="2" xfId="0" applyFont="1" applyBorder="1" applyAlignment="1" applyProtection="1">
      <alignment horizontal="center"/>
      <protection hidden="1"/>
    </xf>
    <xf numFmtId="0" fontId="23" fillId="0" borderId="1" xfId="0" applyFont="1" applyBorder="1" applyAlignment="1" applyProtection="1">
      <alignment horizontal="center"/>
      <protection hidden="1"/>
    </xf>
    <xf numFmtId="2" fontId="22" fillId="0" borderId="9" xfId="0" applyNumberFormat="1" applyFont="1" applyBorder="1" applyAlignment="1" applyProtection="1">
      <alignment horizontal="center"/>
      <protection hidden="1"/>
    </xf>
    <xf numFmtId="2" fontId="22" fillId="0" borderId="5" xfId="0" applyNumberFormat="1" applyFont="1" applyBorder="1" applyAlignment="1" applyProtection="1">
      <alignment horizontal="center"/>
      <protection hidden="1"/>
    </xf>
    <xf numFmtId="2" fontId="22" fillId="0" borderId="11" xfId="0" applyNumberFormat="1" applyFont="1" applyBorder="1" applyAlignment="1" applyProtection="1">
      <alignment horizontal="center"/>
      <protection hidden="1"/>
    </xf>
    <xf numFmtId="2" fontId="22" fillId="0" borderId="10" xfId="0" applyNumberFormat="1" applyFont="1" applyBorder="1" applyAlignment="1" applyProtection="1">
      <alignment horizontal="center"/>
      <protection hidden="1"/>
    </xf>
    <xf numFmtId="0" fontId="26" fillId="0" borderId="0" xfId="0" applyFont="1" applyAlignment="1" applyProtection="1">
      <alignment horizontal="left"/>
      <protection hidden="1"/>
    </xf>
    <xf numFmtId="0" fontId="26" fillId="0" borderId="0" xfId="0" applyFont="1" applyProtection="1">
      <protection hidden="1"/>
    </xf>
    <xf numFmtId="0" fontId="27" fillId="0" borderId="0" xfId="0" applyFont="1" applyAlignment="1" applyProtection="1">
      <alignment horizontal="left"/>
      <protection hidden="1"/>
    </xf>
    <xf numFmtId="2" fontId="23" fillId="0" borderId="0" xfId="0" applyNumberFormat="1" applyFont="1" applyAlignment="1" applyProtection="1">
      <alignment horizontal="center"/>
      <protection hidden="1"/>
    </xf>
    <xf numFmtId="165" fontId="23" fillId="0" borderId="0" xfId="0" applyNumberFormat="1" applyFont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10" fillId="0" borderId="3" xfId="0" applyFont="1" applyBorder="1" applyProtection="1">
      <protection hidden="1"/>
    </xf>
    <xf numFmtId="0" fontId="0" fillId="0" borderId="5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25" xfId="0" applyBorder="1" applyProtection="1">
      <protection hidden="1"/>
    </xf>
    <xf numFmtId="0" fontId="0" fillId="0" borderId="12" xfId="0" applyBorder="1" applyProtection="1">
      <protection hidden="1"/>
    </xf>
    <xf numFmtId="166" fontId="13" fillId="0" borderId="0" xfId="0" applyNumberFormat="1" applyFont="1" applyAlignment="1" applyProtection="1">
      <alignment horizontal="right"/>
      <protection hidden="1"/>
    </xf>
    <xf numFmtId="2" fontId="10" fillId="0" borderId="1" xfId="0" applyNumberFormat="1" applyFont="1" applyBorder="1" applyAlignment="1" applyProtection="1">
      <alignment horizontal="right"/>
      <protection hidden="1"/>
    </xf>
    <xf numFmtId="0" fontId="8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0" fillId="0" borderId="0" xfId="0" applyAlignment="1" applyProtection="1">
      <alignment horizontal="left" vertical="center" wrapText="1" indent="3"/>
      <protection hidden="1"/>
    </xf>
    <xf numFmtId="0" fontId="4" fillId="0" borderId="29" xfId="1" applyBorder="1" applyAlignment="1" applyProtection="1">
      <alignment horizontal="center" vertical="center" wrapText="1"/>
      <protection hidden="1"/>
    </xf>
    <xf numFmtId="0" fontId="5" fillId="0" borderId="30" xfId="2" applyBorder="1" applyAlignment="1" applyProtection="1">
      <alignment horizontal="center"/>
      <protection hidden="1"/>
    </xf>
    <xf numFmtId="0" fontId="0" fillId="0" borderId="30" xfId="0" applyBorder="1" applyProtection="1">
      <protection hidden="1"/>
    </xf>
    <xf numFmtId="0" fontId="5" fillId="0" borderId="1" xfId="2" applyBorder="1" applyAlignment="1" applyProtection="1">
      <alignment horizontal="center" vertical="center"/>
      <protection hidden="1"/>
    </xf>
    <xf numFmtId="0" fontId="5" fillId="0" borderId="30" xfId="2" applyBorder="1" applyAlignment="1" applyProtection="1">
      <alignment horizontal="center" vertical="center"/>
      <protection hidden="1"/>
    </xf>
    <xf numFmtId="0" fontId="2" fillId="0" borderId="0" xfId="8"/>
    <xf numFmtId="0" fontId="23" fillId="0" borderId="0" xfId="5" applyFont="1"/>
    <xf numFmtId="0" fontId="34" fillId="0" borderId="0" xfId="5" applyFont="1"/>
    <xf numFmtId="0" fontId="34" fillId="0" borderId="2" xfId="5" applyFont="1" applyBorder="1"/>
    <xf numFmtId="0" fontId="34" fillId="0" borderId="3" xfId="5" applyFont="1" applyBorder="1"/>
    <xf numFmtId="0" fontId="34" fillId="0" borderId="4" xfId="5" applyFont="1" applyBorder="1"/>
    <xf numFmtId="0" fontId="34" fillId="0" borderId="11" xfId="5" applyFont="1" applyBorder="1"/>
    <xf numFmtId="0" fontId="36" fillId="0" borderId="0" xfId="5" applyFont="1"/>
    <xf numFmtId="0" fontId="34" fillId="0" borderId="25" xfId="5" applyFont="1" applyBorder="1"/>
    <xf numFmtId="0" fontId="32" fillId="0" borderId="25" xfId="5" applyFont="1" applyBorder="1"/>
    <xf numFmtId="0" fontId="32" fillId="0" borderId="0" xfId="5" applyFont="1"/>
    <xf numFmtId="0" fontId="33" fillId="0" borderId="0" xfId="5" applyFont="1"/>
    <xf numFmtId="0" fontId="34" fillId="0" borderId="1" xfId="5" applyFont="1" applyBorder="1" applyAlignment="1">
      <alignment horizontal="center"/>
    </xf>
    <xf numFmtId="0" fontId="34" fillId="0" borderId="1" xfId="5" applyFont="1" applyBorder="1" applyAlignment="1">
      <alignment horizontal="center" vertical="center"/>
    </xf>
    <xf numFmtId="0" fontId="39" fillId="0" borderId="1" xfId="8" applyFont="1" applyBorder="1" applyAlignment="1">
      <alignment horizontal="center"/>
    </xf>
    <xf numFmtId="0" fontId="39" fillId="0" borderId="0" xfId="8" applyFont="1"/>
    <xf numFmtId="0" fontId="39" fillId="0" borderId="1" xfId="0" applyFont="1" applyBorder="1" applyAlignment="1">
      <alignment horizontal="center" vertical="center"/>
    </xf>
    <xf numFmtId="2" fontId="34" fillId="0" borderId="2" xfId="5" applyNumberFormat="1" applyFont="1" applyBorder="1"/>
    <xf numFmtId="4" fontId="34" fillId="0" borderId="2" xfId="5" applyNumberFormat="1" applyFont="1" applyBorder="1"/>
    <xf numFmtId="0" fontId="10" fillId="0" borderId="0" xfId="5" applyFont="1"/>
    <xf numFmtId="167" fontId="40" fillId="0" borderId="1" xfId="5" applyNumberFormat="1" applyFont="1" applyBorder="1" applyAlignment="1">
      <alignment horizontal="center" vertical="center"/>
    </xf>
    <xf numFmtId="167" fontId="40" fillId="0" borderId="1" xfId="5" applyNumberFormat="1" applyFont="1" applyBorder="1"/>
    <xf numFmtId="0" fontId="12" fillId="0" borderId="5" xfId="0" applyFont="1" applyBorder="1" applyAlignment="1" applyProtection="1">
      <alignment horizontal="center" vertical="center" wrapText="1"/>
      <protection hidden="1"/>
    </xf>
    <xf numFmtId="0" fontId="38" fillId="0" borderId="0" xfId="8" applyFont="1" applyAlignment="1">
      <alignment vertical="top"/>
    </xf>
    <xf numFmtId="0" fontId="31" fillId="0" borderId="0" xfId="8" applyFont="1"/>
    <xf numFmtId="0" fontId="38" fillId="0" borderId="0" xfId="8" applyFont="1" applyAlignment="1">
      <alignment horizontal="center" vertical="top"/>
    </xf>
    <xf numFmtId="168" fontId="31" fillId="0" borderId="0" xfId="8" applyNumberFormat="1" applyFont="1" applyAlignment="1">
      <alignment horizontal="center"/>
    </xf>
    <xf numFmtId="0" fontId="5" fillId="0" borderId="32" xfId="2" applyBorder="1" applyAlignment="1" applyProtection="1">
      <alignment horizontal="center"/>
      <protection hidden="1"/>
    </xf>
    <xf numFmtId="0" fontId="0" fillId="0" borderId="31" xfId="0" applyBorder="1" applyProtection="1">
      <protection hidden="1"/>
    </xf>
    <xf numFmtId="0" fontId="5" fillId="0" borderId="31" xfId="2" applyBorder="1" applyAlignment="1" applyProtection="1">
      <alignment horizontal="center"/>
      <protection hidden="1"/>
    </xf>
    <xf numFmtId="0" fontId="5" fillId="0" borderId="33" xfId="2" applyBorder="1" applyAlignment="1" applyProtection="1">
      <alignment horizontal="center"/>
      <protection hidden="1"/>
    </xf>
    <xf numFmtId="0" fontId="0" fillId="0" borderId="35" xfId="0" applyBorder="1" applyProtection="1">
      <protection hidden="1"/>
    </xf>
    <xf numFmtId="0" fontId="5" fillId="0" borderId="35" xfId="2" applyBorder="1" applyAlignment="1" applyProtection="1">
      <alignment horizontal="center"/>
      <protection hidden="1"/>
    </xf>
    <xf numFmtId="0" fontId="5" fillId="0" borderId="36" xfId="2" applyBorder="1" applyAlignment="1" applyProtection="1">
      <alignment horizontal="center"/>
      <protection hidden="1"/>
    </xf>
    <xf numFmtId="0" fontId="0" fillId="0" borderId="36" xfId="0" applyBorder="1" applyProtection="1">
      <protection hidden="1"/>
    </xf>
    <xf numFmtId="167" fontId="34" fillId="0" borderId="1" xfId="5" applyNumberFormat="1" applyFont="1" applyBorder="1"/>
    <xf numFmtId="167" fontId="34" fillId="0" borderId="1" xfId="5" applyNumberFormat="1" applyFont="1" applyBorder="1" applyAlignment="1">
      <alignment horizontal="center" vertical="center"/>
    </xf>
    <xf numFmtId="165" fontId="34" fillId="0" borderId="1" xfId="5" applyNumberFormat="1" applyFont="1" applyBorder="1"/>
    <xf numFmtId="0" fontId="41" fillId="0" borderId="0" xfId="5" applyFont="1" applyAlignment="1">
      <alignment wrapText="1"/>
    </xf>
    <xf numFmtId="0" fontId="32" fillId="0" borderId="0" xfId="5" applyFont="1" applyAlignment="1">
      <alignment wrapText="1"/>
    </xf>
    <xf numFmtId="164" fontId="10" fillId="0" borderId="0" xfId="0" applyNumberFormat="1" applyFont="1" applyAlignment="1" applyProtection="1">
      <alignment horizontal="right"/>
      <protection hidden="1"/>
    </xf>
    <xf numFmtId="10" fontId="10" fillId="0" borderId="0" xfId="4" applyNumberFormat="1" applyFont="1" applyBorder="1" applyAlignment="1" applyProtection="1">
      <alignment horizontal="right"/>
      <protection hidden="1"/>
    </xf>
    <xf numFmtId="0" fontId="17" fillId="0" borderId="0" xfId="0" applyFont="1" applyProtection="1">
      <protection hidden="1"/>
    </xf>
    <xf numFmtId="2" fontId="13" fillId="0" borderId="0" xfId="0" applyNumberFormat="1" applyFont="1" applyProtection="1">
      <protection hidden="1"/>
    </xf>
    <xf numFmtId="2" fontId="16" fillId="0" borderId="0" xfId="0" applyNumberFormat="1" applyFont="1" applyProtection="1">
      <protection hidden="1"/>
    </xf>
    <xf numFmtId="0" fontId="20" fillId="0" borderId="0" xfId="0" applyFont="1" applyProtection="1">
      <protection hidden="1"/>
    </xf>
    <xf numFmtId="0" fontId="15" fillId="0" borderId="0" xfId="0" applyFont="1" applyProtection="1">
      <protection hidden="1"/>
    </xf>
    <xf numFmtId="0" fontId="19" fillId="0" borderId="0" xfId="0" applyFont="1" applyAlignment="1" applyProtection="1">
      <alignment vertical="center" wrapText="1"/>
      <protection hidden="1"/>
    </xf>
    <xf numFmtId="0" fontId="16" fillId="0" borderId="0" xfId="0" applyFont="1" applyAlignment="1" applyProtection="1">
      <alignment vertical="center" wrapText="1"/>
      <protection hidden="1"/>
    </xf>
    <xf numFmtId="4" fontId="16" fillId="0" borderId="0" xfId="0" applyNumberFormat="1" applyFont="1" applyProtection="1">
      <protection hidden="1"/>
    </xf>
    <xf numFmtId="4" fontId="15" fillId="0" borderId="0" xfId="0" applyNumberFormat="1" applyFont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0" fontId="21" fillId="0" borderId="0" xfId="0" applyFont="1" applyProtection="1">
      <protection hidden="1"/>
    </xf>
    <xf numFmtId="4" fontId="0" fillId="0" borderId="0" xfId="0" applyNumberFormat="1" applyProtection="1">
      <protection hidden="1"/>
    </xf>
    <xf numFmtId="0" fontId="13" fillId="0" borderId="0" xfId="0" applyFont="1" applyAlignment="1" applyProtection="1">
      <alignment vertical="center" wrapText="1"/>
      <protection hidden="1"/>
    </xf>
    <xf numFmtId="0" fontId="12" fillId="0" borderId="0" xfId="0" applyFont="1" applyAlignment="1" applyProtection="1">
      <alignment vertical="center" wrapText="1"/>
      <protection hidden="1"/>
    </xf>
    <xf numFmtId="4" fontId="34" fillId="0" borderId="1" xfId="0" applyNumberFormat="1" applyFont="1" applyBorder="1" applyAlignment="1" applyProtection="1">
      <alignment horizontal="right"/>
      <protection hidden="1"/>
    </xf>
    <xf numFmtId="0" fontId="46" fillId="0" borderId="0" xfId="0" applyFont="1" applyProtection="1">
      <protection hidden="1"/>
    </xf>
    <xf numFmtId="0" fontId="16" fillId="0" borderId="9" xfId="0" applyFont="1" applyBorder="1" applyProtection="1">
      <protection hidden="1"/>
    </xf>
    <xf numFmtId="0" fontId="13" fillId="0" borderId="9" xfId="0" applyFont="1" applyBorder="1" applyProtection="1">
      <protection hidden="1"/>
    </xf>
    <xf numFmtId="0" fontId="5" fillId="0" borderId="28" xfId="5" applyBorder="1" applyProtection="1">
      <protection hidden="1"/>
    </xf>
    <xf numFmtId="0" fontId="5" fillId="0" borderId="0" xfId="5" applyProtection="1">
      <protection hidden="1"/>
    </xf>
    <xf numFmtId="2" fontId="34" fillId="0" borderId="11" xfId="5" applyNumberFormat="1" applyFont="1" applyBorder="1" applyAlignment="1" applyProtection="1">
      <alignment horizontal="center" vertical="center"/>
      <protection hidden="1"/>
    </xf>
    <xf numFmtId="0" fontId="47" fillId="0" borderId="0" xfId="0" applyFont="1" applyProtection="1">
      <protection hidden="1"/>
    </xf>
    <xf numFmtId="2" fontId="34" fillId="0" borderId="1" xfId="4" applyNumberFormat="1" applyFont="1" applyBorder="1" applyAlignment="1" applyProtection="1">
      <alignment horizontal="right"/>
      <protection hidden="1"/>
    </xf>
    <xf numFmtId="0" fontId="10" fillId="0" borderId="0" xfId="5" applyFont="1" applyAlignment="1" applyProtection="1">
      <alignment horizontal="left" vertical="top"/>
      <protection hidden="1"/>
    </xf>
    <xf numFmtId="0" fontId="34" fillId="0" borderId="0" xfId="5" applyFont="1" applyAlignment="1" applyProtection="1">
      <alignment vertical="top"/>
      <protection hidden="1"/>
    </xf>
    <xf numFmtId="0" fontId="50" fillId="0" borderId="0" xfId="0" applyFont="1" applyProtection="1">
      <protection hidden="1"/>
    </xf>
    <xf numFmtId="0" fontId="34" fillId="0" borderId="0" xfId="5" applyFont="1" applyAlignment="1" applyProtection="1">
      <alignment vertical="center" wrapText="1"/>
      <protection hidden="1"/>
    </xf>
    <xf numFmtId="0" fontId="34" fillId="0" borderId="0" xfId="5" applyFont="1" applyAlignment="1" applyProtection="1">
      <alignment vertical="center"/>
      <protection hidden="1"/>
    </xf>
    <xf numFmtId="0" fontId="34" fillId="0" borderId="0" xfId="5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vertical="center"/>
      <protection hidden="1"/>
    </xf>
    <xf numFmtId="0" fontId="34" fillId="0" borderId="0" xfId="5" applyFont="1" applyAlignment="1" applyProtection="1">
      <alignment vertical="top" wrapText="1"/>
      <protection hidden="1"/>
    </xf>
    <xf numFmtId="0" fontId="34" fillId="0" borderId="0" xfId="5" applyFont="1" applyAlignment="1" applyProtection="1">
      <alignment horizontal="center" vertical="center"/>
      <protection hidden="1"/>
    </xf>
    <xf numFmtId="0" fontId="10" fillId="0" borderId="0" xfId="5" applyFont="1" applyProtection="1">
      <protection hidden="1"/>
    </xf>
    <xf numFmtId="0" fontId="34" fillId="0" borderId="0" xfId="5" applyFont="1" applyProtection="1">
      <protection hidden="1"/>
    </xf>
    <xf numFmtId="0" fontId="2" fillId="0" borderId="40" xfId="8" applyBorder="1" applyProtection="1">
      <protection hidden="1"/>
    </xf>
    <xf numFmtId="0" fontId="38" fillId="0" borderId="0" xfId="8" applyFont="1" applyProtection="1">
      <protection hidden="1"/>
    </xf>
    <xf numFmtId="0" fontId="2" fillId="0" borderId="0" xfId="8" applyProtection="1">
      <protection hidden="1"/>
    </xf>
    <xf numFmtId="0" fontId="38" fillId="0" borderId="0" xfId="8" applyFont="1" applyAlignment="1" applyProtection="1">
      <alignment vertical="top"/>
      <protection hidden="1"/>
    </xf>
    <xf numFmtId="0" fontId="44" fillId="0" borderId="0" xfId="5" applyFont="1" applyProtection="1">
      <protection hidden="1"/>
    </xf>
    <xf numFmtId="0" fontId="34" fillId="0" borderId="25" xfId="5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14" fillId="0" borderId="0" xfId="5" applyFont="1" applyAlignment="1" applyProtection="1">
      <alignment horizontal="center"/>
      <protection hidden="1"/>
    </xf>
    <xf numFmtId="0" fontId="14" fillId="0" borderId="0" xfId="5" applyFont="1" applyProtection="1">
      <protection hidden="1"/>
    </xf>
    <xf numFmtId="0" fontId="5" fillId="0" borderId="0" xfId="5" applyAlignment="1" applyProtection="1">
      <alignment horizontal="center"/>
      <protection hidden="1"/>
    </xf>
    <xf numFmtId="0" fontId="1" fillId="0" borderId="1" xfId="0" applyFont="1" applyBorder="1" applyProtection="1">
      <protection hidden="1"/>
    </xf>
    <xf numFmtId="170" fontId="31" fillId="0" borderId="0" xfId="8" applyNumberFormat="1" applyFont="1" applyProtection="1">
      <protection hidden="1"/>
    </xf>
    <xf numFmtId="0" fontId="13" fillId="0" borderId="40" xfId="0" applyFont="1" applyBorder="1" applyProtection="1">
      <protection hidden="1"/>
    </xf>
    <xf numFmtId="0" fontId="44" fillId="0" borderId="0" xfId="5" applyFont="1" applyAlignment="1" applyProtection="1">
      <alignment wrapText="1"/>
      <protection hidden="1"/>
    </xf>
    <xf numFmtId="0" fontId="4" fillId="0" borderId="0" xfId="0" applyFont="1" applyAlignment="1" applyProtection="1">
      <alignment horizontal="center"/>
      <protection hidden="1"/>
    </xf>
    <xf numFmtId="0" fontId="39" fillId="0" borderId="3" xfId="0" applyFont="1" applyBorder="1" applyAlignment="1" applyProtection="1">
      <alignment horizontal="center" vertical="center"/>
      <protection hidden="1"/>
    </xf>
    <xf numFmtId="0" fontId="5" fillId="2" borderId="1" xfId="5" applyFill="1" applyBorder="1" applyAlignment="1" applyProtection="1">
      <alignment horizontal="center"/>
      <protection hidden="1"/>
    </xf>
    <xf numFmtId="0" fontId="13" fillId="0" borderId="0" xfId="0" applyFont="1" applyAlignment="1" applyProtection="1">
      <alignment wrapText="1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4" fontId="34" fillId="0" borderId="2" xfId="5" applyNumberFormat="1" applyFont="1" applyBorder="1" applyAlignment="1" applyProtection="1">
      <alignment horizontal="center" vertical="center"/>
      <protection hidden="1"/>
    </xf>
    <xf numFmtId="4" fontId="34" fillId="0" borderId="1" xfId="5" applyNumberFormat="1" applyFont="1" applyBorder="1" applyAlignment="1" applyProtection="1">
      <alignment horizontal="center" vertical="center"/>
      <protection hidden="1"/>
    </xf>
    <xf numFmtId="0" fontId="34" fillId="0" borderId="1" xfId="5" applyFont="1" applyBorder="1" applyAlignment="1" applyProtection="1">
      <alignment horizontal="center"/>
      <protection hidden="1"/>
    </xf>
    <xf numFmtId="0" fontId="34" fillId="0" borderId="4" xfId="5" applyFont="1" applyBorder="1" applyAlignment="1" applyProtection="1">
      <alignment horizontal="center" vertical="center"/>
      <protection hidden="1"/>
    </xf>
    <xf numFmtId="0" fontId="34" fillId="0" borderId="3" xfId="5" applyFont="1" applyBorder="1" applyAlignment="1" applyProtection="1">
      <alignment horizontal="center" vertical="center"/>
      <protection hidden="1"/>
    </xf>
    <xf numFmtId="0" fontId="34" fillId="0" borderId="11" xfId="5" applyFont="1" applyBorder="1" applyAlignment="1" applyProtection="1">
      <alignment horizontal="center" vertical="center"/>
      <protection hidden="1"/>
    </xf>
    <xf numFmtId="167" fontId="34" fillId="0" borderId="1" xfId="5" applyNumberFormat="1" applyFont="1" applyBorder="1" applyAlignment="1" applyProtection="1">
      <alignment horizontal="center" vertical="center"/>
      <protection hidden="1"/>
    </xf>
    <xf numFmtId="0" fontId="38" fillId="0" borderId="0" xfId="8" applyFont="1" applyAlignment="1" applyProtection="1">
      <alignment horizontal="center" vertical="top"/>
      <protection hidden="1"/>
    </xf>
    <xf numFmtId="0" fontId="34" fillId="0" borderId="0" xfId="5" applyFont="1" applyAlignment="1" applyProtection="1">
      <alignment horizontal="center" vertical="top"/>
      <protection hidden="1"/>
    </xf>
    <xf numFmtId="167" fontId="40" fillId="0" borderId="1" xfId="5" applyNumberFormat="1" applyFont="1" applyBorder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center"/>
      <protection hidden="1"/>
    </xf>
    <xf numFmtId="0" fontId="43" fillId="0" borderId="0" xfId="0" applyFont="1" applyProtection="1">
      <protection hidden="1"/>
    </xf>
    <xf numFmtId="0" fontId="43" fillId="0" borderId="0" xfId="0" applyFont="1" applyAlignment="1" applyProtection="1">
      <alignment vertical="top"/>
      <protection hidden="1"/>
    </xf>
    <xf numFmtId="0" fontId="43" fillId="0" borderId="0" xfId="0" applyFont="1" applyAlignment="1" applyProtection="1">
      <alignment vertical="top" wrapText="1"/>
      <protection hidden="1"/>
    </xf>
    <xf numFmtId="0" fontId="52" fillId="0" borderId="1" xfId="0" applyFont="1" applyBorder="1" applyAlignment="1" applyProtection="1">
      <alignment horizontal="center"/>
      <protection hidden="1"/>
    </xf>
    <xf numFmtId="0" fontId="23" fillId="0" borderId="0" xfId="5" applyFont="1" applyProtection="1">
      <protection hidden="1"/>
    </xf>
    <xf numFmtId="0" fontId="13" fillId="0" borderId="0" xfId="0" applyFont="1" applyAlignment="1" applyProtection="1">
      <alignment vertical="top" wrapText="1"/>
      <protection hidden="1"/>
    </xf>
    <xf numFmtId="0" fontId="34" fillId="0" borderId="1" xfId="5" applyFont="1" applyBorder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170" fontId="31" fillId="0" borderId="0" xfId="8" applyNumberFormat="1" applyFont="1" applyAlignment="1" applyProtection="1">
      <alignment horizontal="center"/>
      <protection hidden="1"/>
    </xf>
    <xf numFmtId="0" fontId="31" fillId="0" borderId="0" xfId="8" applyFont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0" fillId="2" borderId="10" xfId="0" applyFill="1" applyBorder="1" applyProtection="1">
      <protection hidden="1"/>
    </xf>
    <xf numFmtId="0" fontId="0" fillId="2" borderId="1" xfId="0" applyFill="1" applyBorder="1" applyProtection="1">
      <protection hidden="1"/>
    </xf>
    <xf numFmtId="0" fontId="13" fillId="0" borderId="27" xfId="0" applyFont="1" applyBorder="1" applyProtection="1">
      <protection hidden="1"/>
    </xf>
    <xf numFmtId="169" fontId="34" fillId="0" borderId="2" xfId="5" applyNumberFormat="1" applyFont="1" applyBorder="1" applyProtection="1">
      <protection locked="0" hidden="1"/>
    </xf>
    <xf numFmtId="0" fontId="43" fillId="0" borderId="0" xfId="0" applyFont="1" applyAlignment="1" applyProtection="1">
      <alignment horizontal="left" vertical="top" wrapText="1"/>
      <protection hidden="1"/>
    </xf>
    <xf numFmtId="0" fontId="12" fillId="2" borderId="0" xfId="0" applyFont="1" applyFill="1" applyAlignment="1" applyProtection="1">
      <alignment horizontal="center" vertical="center" wrapText="1"/>
      <protection hidden="1"/>
    </xf>
    <xf numFmtId="0" fontId="33" fillId="0" borderId="0" xfId="5" applyFont="1" applyAlignment="1">
      <alignment horizontal="left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center" vertical="center"/>
    </xf>
    <xf numFmtId="0" fontId="34" fillId="0" borderId="2" xfId="5" applyFont="1" applyBorder="1" applyAlignment="1">
      <alignment horizontal="center"/>
    </xf>
    <xf numFmtId="0" fontId="34" fillId="0" borderId="4" xfId="5" applyFont="1" applyBorder="1" applyAlignment="1">
      <alignment horizontal="center"/>
    </xf>
    <xf numFmtId="0" fontId="34" fillId="0" borderId="1" xfId="5" applyFont="1" applyBorder="1" applyAlignment="1">
      <alignment horizontal="center"/>
    </xf>
    <xf numFmtId="0" fontId="34" fillId="0" borderId="3" xfId="5" applyFont="1" applyBorder="1" applyAlignment="1">
      <alignment horizontal="center"/>
    </xf>
    <xf numFmtId="0" fontId="31" fillId="0" borderId="0" xfId="8" applyFont="1" applyAlignment="1">
      <alignment horizontal="center"/>
    </xf>
    <xf numFmtId="0" fontId="38" fillId="0" borderId="0" xfId="8" applyFont="1" applyAlignment="1">
      <alignment horizontal="center" vertical="top"/>
    </xf>
    <xf numFmtId="0" fontId="34" fillId="0" borderId="1" xfId="5" applyFont="1" applyBorder="1" applyAlignment="1">
      <alignment horizontal="center" vertical="center"/>
    </xf>
    <xf numFmtId="0" fontId="2" fillId="0" borderId="0" xfId="8" applyAlignment="1">
      <alignment horizontal="center"/>
    </xf>
    <xf numFmtId="0" fontId="10" fillId="0" borderId="0" xfId="5" applyFont="1" applyAlignment="1">
      <alignment horizontal="center"/>
    </xf>
    <xf numFmtId="0" fontId="31" fillId="0" borderId="0" xfId="8" applyFont="1" applyAlignment="1">
      <alignment horizontal="left" vertical="top" wrapText="1"/>
    </xf>
    <xf numFmtId="0" fontId="36" fillId="0" borderId="0" xfId="5" applyFont="1" applyAlignment="1">
      <alignment horizontal="center" vertical="top"/>
    </xf>
    <xf numFmtId="0" fontId="34" fillId="0" borderId="2" xfId="5" applyFont="1" applyBorder="1" applyAlignment="1">
      <alignment horizontal="left" wrapText="1"/>
    </xf>
    <xf numFmtId="0" fontId="34" fillId="0" borderId="3" xfId="5" applyFont="1" applyBorder="1" applyAlignment="1">
      <alignment horizontal="left" wrapText="1"/>
    </xf>
    <xf numFmtId="0" fontId="34" fillId="0" borderId="28" xfId="5" applyFont="1" applyBorder="1" applyAlignment="1">
      <alignment horizontal="center"/>
    </xf>
    <xf numFmtId="0" fontId="34" fillId="0" borderId="4" xfId="5" applyFont="1" applyBorder="1" applyAlignment="1">
      <alignment horizontal="left" wrapText="1"/>
    </xf>
    <xf numFmtId="0" fontId="39" fillId="0" borderId="1" xfId="8" applyFont="1" applyBorder="1" applyAlignment="1">
      <alignment horizontal="center"/>
    </xf>
    <xf numFmtId="0" fontId="34" fillId="0" borderId="10" xfId="5" applyFont="1" applyBorder="1" applyAlignment="1">
      <alignment horizontal="left"/>
    </xf>
    <xf numFmtId="0" fontId="34" fillId="0" borderId="2" xfId="5" applyFont="1" applyBorder="1" applyAlignment="1">
      <alignment horizontal="left"/>
    </xf>
    <xf numFmtId="0" fontId="34" fillId="0" borderId="1" xfId="5" applyFont="1" applyBorder="1" applyAlignment="1">
      <alignment horizontal="left"/>
    </xf>
    <xf numFmtId="2" fontId="34" fillId="0" borderId="2" xfId="5" applyNumberFormat="1" applyFont="1" applyBorder="1" applyAlignment="1">
      <alignment horizontal="center"/>
    </xf>
    <xf numFmtId="0" fontId="34" fillId="0" borderId="0" xfId="5" applyFont="1" applyAlignment="1">
      <alignment horizontal="center" wrapText="1"/>
    </xf>
    <xf numFmtId="0" fontId="34" fillId="0" borderId="2" xfId="5" applyFont="1" applyBorder="1" applyAlignment="1">
      <alignment horizontal="left" vertical="center" wrapText="1"/>
    </xf>
    <xf numFmtId="0" fontId="34" fillId="0" borderId="3" xfId="5" applyFont="1" applyBorder="1" applyAlignment="1">
      <alignment horizontal="left" vertical="center" wrapText="1"/>
    </xf>
    <xf numFmtId="0" fontId="34" fillId="0" borderId="2" xfId="5" applyFont="1" applyBorder="1" applyAlignment="1">
      <alignment horizontal="center" vertical="top"/>
    </xf>
    <xf numFmtId="0" fontId="34" fillId="0" borderId="3" xfId="5" applyFont="1" applyBorder="1" applyAlignment="1">
      <alignment horizontal="center" vertical="top"/>
    </xf>
    <xf numFmtId="0" fontId="10" fillId="0" borderId="1" xfId="0" applyFont="1" applyBorder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Alignment="1" applyProtection="1">
      <alignment horizontal="right" vertical="center"/>
      <protection hidden="1"/>
    </xf>
    <xf numFmtId="0" fontId="0" fillId="0" borderId="4" xfId="0" applyBorder="1" applyAlignment="1" applyProtection="1">
      <alignment horizontal="right" vertical="center"/>
      <protection hidden="1"/>
    </xf>
    <xf numFmtId="0" fontId="0" fillId="0" borderId="3" xfId="0" applyBorder="1" applyAlignment="1" applyProtection="1">
      <alignment horizontal="right" vertical="center"/>
      <protection hidden="1"/>
    </xf>
    <xf numFmtId="0" fontId="13" fillId="0" borderId="0" xfId="0" applyFont="1" applyAlignment="1" applyProtection="1">
      <alignment wrapText="1"/>
      <protection hidden="1"/>
    </xf>
    <xf numFmtId="0" fontId="34" fillId="0" borderId="2" xfId="5" applyFont="1" applyBorder="1" applyAlignment="1" applyProtection="1">
      <alignment horizontal="left"/>
      <protection hidden="1"/>
    </xf>
    <xf numFmtId="0" fontId="34" fillId="0" borderId="3" xfId="5" applyFont="1" applyBorder="1" applyAlignment="1" applyProtection="1">
      <alignment horizontal="left"/>
      <protection hidden="1"/>
    </xf>
    <xf numFmtId="0" fontId="39" fillId="0" borderId="2" xfId="0" applyFont="1" applyBorder="1" applyAlignment="1" applyProtection="1">
      <alignment horizontal="left"/>
      <protection hidden="1"/>
    </xf>
    <xf numFmtId="0" fontId="39" fillId="0" borderId="3" xfId="0" applyFont="1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34" xfId="0" applyBorder="1" applyAlignment="1" applyProtection="1">
      <alignment horizontal="center" vertical="center" textRotation="90"/>
      <protection hidden="1"/>
    </xf>
    <xf numFmtId="0" fontId="0" fillId="0" borderId="9" xfId="0" applyBorder="1" applyAlignment="1" applyProtection="1">
      <alignment horizontal="center" vertical="center" textRotation="90"/>
      <protection hidden="1"/>
    </xf>
    <xf numFmtId="0" fontId="0" fillId="0" borderId="37" xfId="0" applyBorder="1" applyAlignment="1" applyProtection="1">
      <alignment horizontal="center" vertical="center" textRotation="90"/>
      <protection hidden="1"/>
    </xf>
    <xf numFmtId="0" fontId="10" fillId="0" borderId="2" xfId="0" applyFont="1" applyBorder="1" applyProtection="1">
      <protection hidden="1"/>
    </xf>
    <xf numFmtId="0" fontId="0" fillId="0" borderId="3" xfId="0" applyBorder="1" applyProtection="1">
      <protection hidden="1"/>
    </xf>
    <xf numFmtId="0" fontId="10" fillId="0" borderId="4" xfId="0" applyFont="1" applyBorder="1" applyProtection="1">
      <protection hidden="1"/>
    </xf>
    <xf numFmtId="0" fontId="8" fillId="0" borderId="7" xfId="0" applyFont="1" applyBorder="1" applyAlignment="1" applyProtection="1">
      <alignment horizontal="center" wrapText="1"/>
      <protection hidden="1"/>
    </xf>
    <xf numFmtId="0" fontId="8" fillId="0" borderId="26" xfId="0" applyFont="1" applyBorder="1" applyAlignment="1" applyProtection="1">
      <alignment horizontal="center" wrapText="1"/>
      <protection hidden="1"/>
    </xf>
    <xf numFmtId="0" fontId="8" fillId="0" borderId="8" xfId="0" applyFont="1" applyBorder="1" applyAlignment="1" applyProtection="1">
      <alignment horizontal="center" wrapText="1"/>
      <protection hidden="1"/>
    </xf>
    <xf numFmtId="0" fontId="0" fillId="0" borderId="39" xfId="0" applyBorder="1" applyAlignment="1" applyProtection="1">
      <alignment horizontal="center" vertical="center" textRotation="90"/>
      <protection hidden="1"/>
    </xf>
    <xf numFmtId="0" fontId="0" fillId="0" borderId="5" xfId="0" applyBorder="1" applyAlignment="1" applyProtection="1">
      <alignment horizontal="center" vertical="center" textRotation="90"/>
      <protection hidden="1"/>
    </xf>
    <xf numFmtId="0" fontId="0" fillId="0" borderId="38" xfId="0" applyBorder="1" applyAlignment="1" applyProtection="1">
      <alignment horizontal="center" vertical="center" textRotation="90"/>
      <protection hidden="1"/>
    </xf>
    <xf numFmtId="0" fontId="0" fillId="0" borderId="11" xfId="0" applyBorder="1" applyAlignment="1" applyProtection="1">
      <alignment horizontal="center" vertical="center" textRotation="90"/>
      <protection hidden="1"/>
    </xf>
    <xf numFmtId="0" fontId="8" fillId="0" borderId="0" xfId="0" applyFont="1" applyAlignment="1" applyProtection="1">
      <alignment wrapText="1"/>
      <protection hidden="1"/>
    </xf>
    <xf numFmtId="0" fontId="0" fillId="0" borderId="7" xfId="0" applyBorder="1" applyAlignment="1" applyProtection="1">
      <alignment horizontal="center" vertical="center" textRotation="90"/>
      <protection hidden="1"/>
    </xf>
    <xf numFmtId="0" fontId="0" fillId="0" borderId="0" xfId="0" applyAlignment="1" applyProtection="1">
      <alignment wrapText="1"/>
      <protection hidden="1"/>
    </xf>
    <xf numFmtId="0" fontId="0" fillId="0" borderId="28" xfId="0" applyBorder="1" applyAlignment="1" applyProtection="1">
      <alignment horizontal="center" vertical="center" textRotation="90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0" fillId="2" borderId="9" xfId="0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2" borderId="6" xfId="0" applyFill="1" applyBorder="1" applyAlignment="1" applyProtection="1">
      <alignment horizontal="left"/>
      <protection hidden="1"/>
    </xf>
    <xf numFmtId="0" fontId="0" fillId="2" borderId="9" xfId="0" applyFill="1" applyBorder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31" fillId="0" borderId="0" xfId="8" applyFont="1" applyAlignment="1" applyProtection="1">
      <alignment horizontal="center"/>
      <protection hidden="1"/>
    </xf>
    <xf numFmtId="0" fontId="38" fillId="0" borderId="0" xfId="8" applyFont="1" applyAlignment="1" applyProtection="1">
      <alignment horizontal="center" vertical="top"/>
      <protection hidden="1"/>
    </xf>
    <xf numFmtId="0" fontId="12" fillId="0" borderId="0" xfId="0" applyFont="1" applyAlignment="1" applyProtection="1">
      <alignment horizontal="center" vertical="center" wrapText="1"/>
      <protection hidden="1"/>
    </xf>
    <xf numFmtId="0" fontId="34" fillId="0" borderId="1" xfId="5" applyFont="1" applyBorder="1" applyAlignment="1" applyProtection="1">
      <alignment horizontal="center"/>
      <protection hidden="1"/>
    </xf>
    <xf numFmtId="0" fontId="10" fillId="0" borderId="0" xfId="5" applyFont="1" applyAlignment="1" applyProtection="1">
      <alignment horizontal="center"/>
      <protection hidden="1"/>
    </xf>
    <xf numFmtId="49" fontId="54" fillId="3" borderId="0" xfId="8" applyNumberFormat="1" applyFont="1" applyFill="1" applyAlignment="1" applyProtection="1">
      <alignment horizontal="left" vertical="top" wrapText="1"/>
      <protection locked="0" hidden="1"/>
    </xf>
    <xf numFmtId="0" fontId="36" fillId="0" borderId="0" xfId="5" applyFont="1" applyAlignment="1" applyProtection="1">
      <alignment horizontal="center" vertical="top"/>
      <protection hidden="1"/>
    </xf>
    <xf numFmtId="0" fontId="39" fillId="0" borderId="1" xfId="0" applyFont="1" applyBorder="1" applyAlignment="1" applyProtection="1">
      <alignment horizontal="center" wrapText="1"/>
      <protection locked="0" hidden="1"/>
    </xf>
    <xf numFmtId="0" fontId="34" fillId="0" borderId="1" xfId="5" applyFont="1" applyBorder="1" applyAlignment="1" applyProtection="1">
      <alignment horizontal="center"/>
      <protection locked="0" hidden="1"/>
    </xf>
    <xf numFmtId="0" fontId="34" fillId="0" borderId="1" xfId="5" applyFont="1" applyBorder="1" applyAlignment="1" applyProtection="1">
      <alignment horizontal="left" wrapText="1"/>
      <protection hidden="1"/>
    </xf>
    <xf numFmtId="0" fontId="34" fillId="0" borderId="28" xfId="5" applyFont="1" applyBorder="1" applyAlignment="1" applyProtection="1">
      <alignment horizontal="center"/>
      <protection locked="0" hidden="1"/>
    </xf>
    <xf numFmtId="0" fontId="34" fillId="0" borderId="0" xfId="5" applyFont="1" applyAlignment="1" applyProtection="1">
      <alignment horizontal="center"/>
      <protection hidden="1"/>
    </xf>
    <xf numFmtId="0" fontId="34" fillId="0" borderId="1" xfId="5" applyFont="1" applyBorder="1" applyAlignment="1" applyProtection="1">
      <alignment horizontal="center" vertical="center"/>
      <protection hidden="1"/>
    </xf>
    <xf numFmtId="0" fontId="34" fillId="0" borderId="2" xfId="5" applyFont="1" applyBorder="1" applyAlignment="1" applyProtection="1">
      <alignment horizontal="left" vertical="center" wrapText="1"/>
      <protection hidden="1"/>
    </xf>
    <xf numFmtId="0" fontId="34" fillId="0" borderId="3" xfId="5" applyFont="1" applyBorder="1" applyAlignment="1" applyProtection="1">
      <alignment horizontal="left" vertical="center" wrapText="1"/>
      <protection hidden="1"/>
    </xf>
    <xf numFmtId="0" fontId="39" fillId="0" borderId="2" xfId="0" applyFont="1" applyBorder="1" applyAlignment="1" applyProtection="1">
      <alignment horizontal="center" vertical="center"/>
      <protection locked="0" hidden="1"/>
    </xf>
    <xf numFmtId="0" fontId="39" fillId="0" borderId="3" xfId="0" applyFont="1" applyBorder="1" applyAlignment="1" applyProtection="1">
      <alignment horizontal="center" vertical="center"/>
      <protection locked="0" hidden="1"/>
    </xf>
    <xf numFmtId="0" fontId="39" fillId="0" borderId="2" xfId="0" applyFont="1" applyBorder="1" applyAlignment="1" applyProtection="1">
      <alignment horizontal="center" vertical="center" wrapText="1"/>
      <protection locked="0" hidden="1"/>
    </xf>
    <xf numFmtId="0" fontId="39" fillId="0" borderId="3" xfId="0" applyFont="1" applyBorder="1" applyAlignment="1" applyProtection="1">
      <alignment horizontal="center" vertical="center" wrapText="1"/>
      <protection locked="0" hidden="1"/>
    </xf>
    <xf numFmtId="0" fontId="39" fillId="0" borderId="1" xfId="8" applyFont="1" applyBorder="1" applyAlignment="1" applyProtection="1">
      <alignment horizontal="center"/>
      <protection hidden="1"/>
    </xf>
    <xf numFmtId="0" fontId="34" fillId="0" borderId="1" xfId="5" applyFont="1" applyBorder="1" applyAlignment="1" applyProtection="1">
      <alignment horizontal="left"/>
      <protection hidden="1"/>
    </xf>
    <xf numFmtId="0" fontId="51" fillId="0" borderId="1" xfId="0" applyFont="1" applyBorder="1" applyAlignment="1" applyProtection="1">
      <alignment horizontal="center" vertical="center" wrapText="1"/>
      <protection locked="0" hidden="1"/>
    </xf>
    <xf numFmtId="0" fontId="51" fillId="0" borderId="2" xfId="0" applyFont="1" applyBorder="1" applyAlignment="1" applyProtection="1">
      <alignment horizontal="center" vertical="center" wrapText="1"/>
      <protection locked="0" hidden="1"/>
    </xf>
    <xf numFmtId="0" fontId="34" fillId="0" borderId="2" xfId="5" applyFont="1" applyBorder="1" applyAlignment="1" applyProtection="1">
      <alignment horizontal="left" vertical="top" wrapText="1"/>
      <protection hidden="1"/>
    </xf>
    <xf numFmtId="0" fontId="34" fillId="0" borderId="3" xfId="5" applyFont="1" applyBorder="1" applyAlignment="1" applyProtection="1">
      <alignment horizontal="left" vertical="top" wrapText="1"/>
      <protection hidden="1"/>
    </xf>
    <xf numFmtId="4" fontId="34" fillId="0" borderId="2" xfId="5" applyNumberFormat="1" applyFont="1" applyBorder="1" applyAlignment="1" applyProtection="1">
      <alignment horizontal="center" vertical="center"/>
      <protection hidden="1"/>
    </xf>
    <xf numFmtId="4" fontId="34" fillId="0" borderId="3" xfId="5" applyNumberFormat="1" applyFont="1" applyBorder="1" applyAlignment="1" applyProtection="1">
      <alignment horizontal="center" vertical="center"/>
      <protection hidden="1"/>
    </xf>
    <xf numFmtId="4" fontId="34" fillId="0" borderId="1" xfId="5" applyNumberFormat="1" applyFont="1" applyBorder="1" applyAlignment="1" applyProtection="1">
      <alignment horizontal="center" vertical="center"/>
      <protection hidden="1"/>
    </xf>
    <xf numFmtId="4" fontId="34" fillId="0" borderId="10" xfId="5" applyNumberFormat="1" applyFont="1" applyBorder="1" applyAlignment="1" applyProtection="1">
      <alignment horizontal="center" vertical="center"/>
      <protection hidden="1"/>
    </xf>
    <xf numFmtId="0" fontId="34" fillId="0" borderId="2" xfId="5" applyFont="1" applyBorder="1" applyAlignment="1" applyProtection="1">
      <alignment horizontal="left" vertical="top"/>
      <protection hidden="1"/>
    </xf>
    <xf numFmtId="0" fontId="34" fillId="0" borderId="3" xfId="5" applyFont="1" applyBorder="1" applyAlignment="1" applyProtection="1">
      <alignment horizontal="left" vertical="top"/>
      <protection hidden="1"/>
    </xf>
    <xf numFmtId="2" fontId="34" fillId="0" borderId="1" xfId="5" applyNumberFormat="1" applyFont="1" applyBorder="1" applyAlignment="1" applyProtection="1">
      <alignment horizontal="center"/>
      <protection hidden="1"/>
    </xf>
    <xf numFmtId="0" fontId="44" fillId="0" borderId="0" xfId="5" applyFont="1" applyAlignment="1" applyProtection="1">
      <alignment horizontal="left" wrapText="1"/>
      <protection hidden="1"/>
    </xf>
    <xf numFmtId="0" fontId="39" fillId="0" borderId="2" xfId="8" applyFont="1" applyBorder="1" applyAlignment="1" applyProtection="1">
      <alignment horizontal="center"/>
      <protection hidden="1"/>
    </xf>
    <xf numFmtId="0" fontId="39" fillId="0" borderId="3" xfId="8" applyFont="1" applyBorder="1" applyAlignment="1" applyProtection="1">
      <alignment horizontal="center"/>
      <protection hidden="1"/>
    </xf>
    <xf numFmtId="0" fontId="53" fillId="0" borderId="0" xfId="0" applyFont="1" applyAlignment="1" applyProtection="1">
      <alignment horizontal="center" wrapText="1"/>
      <protection hidden="1"/>
    </xf>
    <xf numFmtId="0" fontId="34" fillId="0" borderId="0" xfId="5" applyFont="1" applyAlignment="1" applyProtection="1">
      <alignment horizontal="center" wrapText="1"/>
      <protection hidden="1"/>
    </xf>
    <xf numFmtId="170" fontId="31" fillId="0" borderId="0" xfId="8" applyNumberFormat="1" applyFont="1" applyAlignment="1" applyProtection="1">
      <alignment horizontal="center"/>
      <protection hidden="1"/>
    </xf>
    <xf numFmtId="49" fontId="34" fillId="0" borderId="0" xfId="5" applyNumberFormat="1" applyFont="1" applyAlignment="1" applyProtection="1">
      <alignment horizontal="left" vertical="top" wrapText="1"/>
      <protection locked="0" hidden="1"/>
    </xf>
    <xf numFmtId="0" fontId="34" fillId="0" borderId="1" xfId="5" applyFont="1" applyBorder="1" applyAlignment="1" applyProtection="1">
      <alignment horizontal="left" vertical="top"/>
      <protection hidden="1"/>
    </xf>
    <xf numFmtId="0" fontId="36" fillId="0" borderId="1" xfId="5" applyFont="1" applyBorder="1" applyAlignment="1" applyProtection="1">
      <alignment horizontal="center" vertical="top"/>
      <protection hidden="1"/>
    </xf>
    <xf numFmtId="0" fontId="50" fillId="0" borderId="1" xfId="0" applyFont="1" applyBorder="1" applyAlignment="1" applyProtection="1">
      <alignment horizontal="center"/>
      <protection locked="0" hidden="1"/>
    </xf>
    <xf numFmtId="0" fontId="34" fillId="0" borderId="0" xfId="5" applyFont="1" applyAlignment="1" applyProtection="1">
      <alignment horizontal="center" vertical="top"/>
      <protection hidden="1"/>
    </xf>
    <xf numFmtId="49" fontId="50" fillId="0" borderId="1" xfId="0" applyNumberFormat="1" applyFont="1" applyBorder="1" applyAlignment="1" applyProtection="1">
      <alignment horizontal="center"/>
      <protection locked="0" hidden="1"/>
    </xf>
    <xf numFmtId="49" fontId="54" fillId="0" borderId="0" xfId="8" applyNumberFormat="1" applyFont="1" applyAlignment="1" applyProtection="1">
      <alignment horizontal="left" vertical="top" wrapText="1"/>
      <protection locked="0" hidden="1"/>
    </xf>
    <xf numFmtId="0" fontId="36" fillId="0" borderId="1" xfId="5" applyFont="1" applyBorder="1" applyAlignment="1" applyProtection="1">
      <alignment horizontal="center" vertical="top" wrapText="1"/>
      <protection hidden="1"/>
    </xf>
    <xf numFmtId="49" fontId="34" fillId="0" borderId="1" xfId="5" applyNumberFormat="1" applyFont="1" applyBorder="1" applyAlignment="1" applyProtection="1">
      <alignment horizontal="center" vertical="top" wrapText="1"/>
      <protection locked="0" hidden="1"/>
    </xf>
    <xf numFmtId="0" fontId="38" fillId="0" borderId="1" xfId="0" applyFont="1" applyBorder="1" applyAlignment="1" applyProtection="1">
      <alignment horizontal="center"/>
      <protection hidden="1"/>
    </xf>
    <xf numFmtId="171" fontId="34" fillId="0" borderId="1" xfId="5" applyNumberFormat="1" applyFont="1" applyBorder="1" applyAlignment="1" applyProtection="1">
      <alignment horizontal="center" vertical="top"/>
      <protection locked="0" hidden="1"/>
    </xf>
    <xf numFmtId="0" fontId="10" fillId="0" borderId="0" xfId="5" applyFont="1" applyAlignment="1" applyProtection="1">
      <alignment horizontal="left" vertical="top" wrapText="1"/>
      <protection hidden="1"/>
    </xf>
    <xf numFmtId="0" fontId="34" fillId="0" borderId="1" xfId="5" applyFont="1" applyBorder="1" applyAlignment="1" applyProtection="1">
      <alignment horizontal="left" vertical="top" wrapText="1"/>
      <protection hidden="1"/>
    </xf>
    <xf numFmtId="171" fontId="34" fillId="0" borderId="1" xfId="5" applyNumberFormat="1" applyFont="1" applyBorder="1" applyAlignment="1" applyProtection="1">
      <alignment horizontal="center" vertical="top"/>
      <protection hidden="1"/>
    </xf>
    <xf numFmtId="0" fontId="34" fillId="0" borderId="1" xfId="5" applyFont="1" applyBorder="1" applyAlignment="1" applyProtection="1">
      <alignment horizontal="center" vertical="top"/>
      <protection hidden="1"/>
    </xf>
    <xf numFmtId="0" fontId="34" fillId="0" borderId="4" xfId="5" applyFont="1" applyBorder="1" applyAlignment="1" applyProtection="1">
      <alignment horizontal="left" vertical="top" wrapText="1"/>
      <protection hidden="1"/>
    </xf>
    <xf numFmtId="0" fontId="34" fillId="0" borderId="1" xfId="5" applyFont="1" applyBorder="1" applyAlignment="1" applyProtection="1">
      <alignment horizontal="center" vertical="top"/>
      <protection locked="0" hidden="1"/>
    </xf>
    <xf numFmtId="0" fontId="34" fillId="0" borderId="4" xfId="5" applyFont="1" applyBorder="1" applyAlignment="1" applyProtection="1">
      <alignment horizontal="left" vertical="center" wrapText="1"/>
      <protection hidden="1"/>
    </xf>
    <xf numFmtId="0" fontId="39" fillId="0" borderId="1" xfId="0" applyFont="1" applyBorder="1" applyAlignment="1" applyProtection="1">
      <alignment horizontal="center" vertical="center"/>
      <protection locked="0" hidden="1"/>
    </xf>
    <xf numFmtId="0" fontId="39" fillId="0" borderId="1" xfId="0" applyFont="1" applyBorder="1" applyAlignment="1" applyProtection="1">
      <alignment horizontal="center" vertical="center" wrapText="1"/>
      <protection locked="0" hidden="1"/>
    </xf>
    <xf numFmtId="0" fontId="10" fillId="0" borderId="0" xfId="5" applyFont="1" applyAlignment="1" applyProtection="1">
      <alignment horizontal="left"/>
      <protection hidden="1"/>
    </xf>
    <xf numFmtId="0" fontId="34" fillId="0" borderId="1" xfId="5" applyFont="1" applyBorder="1" applyAlignment="1" applyProtection="1">
      <alignment horizontal="left" vertical="center" wrapText="1"/>
      <protection hidden="1"/>
    </xf>
    <xf numFmtId="0" fontId="38" fillId="0" borderId="2" xfId="0" applyFont="1" applyBorder="1" applyAlignment="1" applyProtection="1">
      <alignment horizontal="center" vertical="center" wrapText="1"/>
      <protection locked="0" hidden="1"/>
    </xf>
    <xf numFmtId="0" fontId="38" fillId="0" borderId="4" xfId="0" applyFont="1" applyBorder="1" applyAlignment="1" applyProtection="1">
      <alignment horizontal="center" vertical="center" wrapText="1"/>
      <protection locked="0" hidden="1"/>
    </xf>
    <xf numFmtId="0" fontId="38" fillId="0" borderId="3" xfId="0" applyFont="1" applyBorder="1" applyAlignment="1" applyProtection="1">
      <alignment horizontal="center" vertical="center" wrapText="1"/>
      <protection locked="0" hidden="1"/>
    </xf>
    <xf numFmtId="0" fontId="38" fillId="0" borderId="1" xfId="0" applyFont="1" applyBorder="1" applyAlignment="1" applyProtection="1">
      <alignment horizontal="center" vertical="center" wrapText="1"/>
      <protection locked="0" hidden="1"/>
    </xf>
    <xf numFmtId="0" fontId="38" fillId="0" borderId="1" xfId="8" applyFont="1" applyBorder="1" applyAlignment="1" applyProtection="1">
      <alignment horizontal="center"/>
      <protection hidden="1"/>
    </xf>
    <xf numFmtId="0" fontId="36" fillId="0" borderId="1" xfId="5" applyFont="1" applyBorder="1" applyAlignment="1" applyProtection="1">
      <alignment horizontal="center"/>
      <protection hidden="1"/>
    </xf>
    <xf numFmtId="0" fontId="34" fillId="0" borderId="1" xfId="5" applyFont="1" applyBorder="1" applyAlignment="1" applyProtection="1">
      <alignment horizontal="center" vertical="center" wrapText="1"/>
      <protection hidden="1"/>
    </xf>
    <xf numFmtId="167" fontId="34" fillId="0" borderId="1" xfId="5" applyNumberFormat="1" applyFont="1" applyBorder="1" applyAlignment="1" applyProtection="1">
      <alignment horizontal="center" vertical="center"/>
      <protection hidden="1"/>
    </xf>
    <xf numFmtId="167" fontId="40" fillId="0" borderId="1" xfId="5" applyNumberFormat="1" applyFont="1" applyBorder="1" applyAlignment="1" applyProtection="1">
      <alignment horizontal="center" vertical="center"/>
      <protection hidden="1"/>
    </xf>
    <xf numFmtId="0" fontId="32" fillId="0" borderId="1" xfId="5" applyFont="1" applyBorder="1" applyAlignment="1" applyProtection="1">
      <alignment horizontal="center"/>
      <protection hidden="1"/>
    </xf>
    <xf numFmtId="0" fontId="32" fillId="0" borderId="2" xfId="5" applyFont="1" applyBorder="1" applyAlignment="1" applyProtection="1">
      <alignment horizontal="center" wrapText="1"/>
      <protection hidden="1"/>
    </xf>
    <xf numFmtId="0" fontId="32" fillId="0" borderId="4" xfId="5" applyFont="1" applyBorder="1" applyAlignment="1" applyProtection="1">
      <alignment horizontal="center" wrapText="1"/>
      <protection hidden="1"/>
    </xf>
    <xf numFmtId="0" fontId="32" fillId="0" borderId="3" xfId="5" applyFont="1" applyBorder="1" applyAlignment="1" applyProtection="1">
      <alignment horizontal="center" wrapText="1"/>
      <protection hidden="1"/>
    </xf>
    <xf numFmtId="0" fontId="32" fillId="0" borderId="2" xfId="5" applyFont="1" applyBorder="1" applyAlignment="1" applyProtection="1">
      <alignment horizontal="center" vertical="center"/>
      <protection hidden="1"/>
    </xf>
    <xf numFmtId="0" fontId="32" fillId="0" borderId="4" xfId="5" applyFont="1" applyBorder="1" applyAlignment="1" applyProtection="1">
      <alignment horizontal="center" vertical="center"/>
      <protection hidden="1"/>
    </xf>
    <xf numFmtId="0" fontId="32" fillId="0" borderId="3" xfId="5" applyFont="1" applyBorder="1" applyAlignment="1" applyProtection="1">
      <alignment horizontal="center" vertical="center"/>
      <protection hidden="1"/>
    </xf>
    <xf numFmtId="0" fontId="32" fillId="0" borderId="1" xfId="5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9" xfId="0" applyBorder="1" applyProtection="1">
      <protection hidden="1"/>
    </xf>
    <xf numFmtId="0" fontId="23" fillId="0" borderId="2" xfId="0" applyFont="1" applyBorder="1" applyAlignment="1" applyProtection="1">
      <alignment horizontal="center"/>
      <protection hidden="1"/>
    </xf>
    <xf numFmtId="0" fontId="0" fillId="0" borderId="3" xfId="0" applyBorder="1"/>
    <xf numFmtId="165" fontId="22" fillId="0" borderId="7" xfId="0" applyNumberFormat="1" applyFont="1" applyBorder="1" applyAlignment="1" applyProtection="1">
      <alignment horizontal="center"/>
      <protection hidden="1"/>
    </xf>
    <xf numFmtId="0" fontId="0" fillId="0" borderId="8" xfId="0" applyBorder="1"/>
    <xf numFmtId="165" fontId="22" fillId="0" borderId="9" xfId="0" applyNumberFormat="1" applyFont="1" applyBorder="1" applyAlignment="1" applyProtection="1">
      <alignment horizontal="center"/>
      <protection hidden="1"/>
    </xf>
    <xf numFmtId="0" fontId="0" fillId="0" borderId="6" xfId="0" applyBorder="1"/>
    <xf numFmtId="0" fontId="0" fillId="0" borderId="21" xfId="0" applyBorder="1" applyAlignment="1" applyProtection="1">
      <alignment horizontal="center" vertical="center"/>
      <protection hidden="1"/>
    </xf>
    <xf numFmtId="0" fontId="0" fillId="0" borderId="22" xfId="0" applyBorder="1" applyAlignment="1" applyProtection="1">
      <alignment horizontal="center" vertical="center"/>
      <protection hidden="1"/>
    </xf>
    <xf numFmtId="0" fontId="0" fillId="0" borderId="23" xfId="0" applyBorder="1" applyAlignment="1" applyProtection="1">
      <alignment horizontal="center" vertical="center"/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0" fillId="0" borderId="0" xfId="0" applyAlignment="1">
      <alignment wrapText="1"/>
    </xf>
    <xf numFmtId="0" fontId="0" fillId="0" borderId="20" xfId="0" applyBorder="1" applyAlignment="1" applyProtection="1">
      <alignment horizontal="center" vertical="center"/>
      <protection hidden="1"/>
    </xf>
    <xf numFmtId="2" fontId="22" fillId="0" borderId="9" xfId="0" applyNumberFormat="1" applyFont="1" applyBorder="1" applyAlignment="1" applyProtection="1">
      <alignment horizontal="center"/>
      <protection hidden="1"/>
    </xf>
    <xf numFmtId="0" fontId="28" fillId="0" borderId="0" xfId="0" applyFont="1" applyProtection="1">
      <protection hidden="1"/>
    </xf>
    <xf numFmtId="165" fontId="28" fillId="0" borderId="0" xfId="0" applyNumberFormat="1" applyFont="1" applyProtection="1"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4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23" fillId="0" borderId="7" xfId="0" applyFont="1" applyBorder="1" applyProtection="1">
      <protection hidden="1"/>
    </xf>
    <xf numFmtId="0" fontId="0" fillId="0" borderId="8" xfId="0" applyBorder="1" applyProtection="1">
      <protection hidden="1"/>
    </xf>
    <xf numFmtId="0" fontId="23" fillId="0" borderId="9" xfId="0" applyFont="1" applyBorder="1" applyProtection="1">
      <protection hidden="1"/>
    </xf>
    <xf numFmtId="0" fontId="0" fillId="0" borderId="6" xfId="0" applyBorder="1" applyProtection="1">
      <protection hidden="1"/>
    </xf>
    <xf numFmtId="165" fontId="22" fillId="0" borderId="11" xfId="0" applyNumberFormat="1" applyFont="1" applyBorder="1" applyAlignment="1" applyProtection="1">
      <alignment horizontal="center"/>
      <protection hidden="1"/>
    </xf>
    <xf numFmtId="0" fontId="0" fillId="0" borderId="12" xfId="0" applyBorder="1"/>
    <xf numFmtId="0" fontId="22" fillId="0" borderId="0" xfId="0" applyFont="1" applyAlignment="1" applyProtection="1">
      <alignment horizontal="center"/>
      <protection hidden="1"/>
    </xf>
    <xf numFmtId="0" fontId="23" fillId="0" borderId="11" xfId="0" applyFont="1" applyBorder="1" applyProtection="1">
      <protection hidden="1"/>
    </xf>
    <xf numFmtId="0" fontId="0" fillId="0" borderId="12" xfId="0" applyBorder="1" applyProtection="1">
      <protection hidden="1"/>
    </xf>
    <xf numFmtId="2" fontId="22" fillId="0" borderId="11" xfId="0" applyNumberFormat="1" applyFont="1" applyBorder="1" applyAlignment="1" applyProtection="1">
      <alignment horizontal="center"/>
      <protection hidden="1"/>
    </xf>
    <xf numFmtId="0" fontId="28" fillId="0" borderId="25" xfId="0" applyFont="1" applyBorder="1" applyProtection="1">
      <protection hidden="1"/>
    </xf>
  </cellXfs>
  <cellStyles count="9">
    <cellStyle name="Normalny" xfId="0" builtinId="0"/>
    <cellStyle name="Normalny 2" xfId="1" xr:uid="{00000000-0005-0000-0000-000001000000}"/>
    <cellStyle name="Normalny 2 2" xfId="5" xr:uid="{00000000-0005-0000-0000-000002000000}"/>
    <cellStyle name="Normalny 3" xfId="2" xr:uid="{00000000-0005-0000-0000-000003000000}"/>
    <cellStyle name="Normalny 4" xfId="3" xr:uid="{00000000-0005-0000-0000-000004000000}"/>
    <cellStyle name="Normalny 5" xfId="8" xr:uid="{00000000-0005-0000-0000-000005000000}"/>
    <cellStyle name="Procentowy" xfId="4" builtinId="5"/>
    <cellStyle name="Procentowy 2" xfId="6" xr:uid="{00000000-0005-0000-0000-000007000000}"/>
    <cellStyle name="Procentowy 3" xfId="7" xr:uid="{00000000-0005-0000-0000-000008000000}"/>
  </cellStyles>
  <dxfs count="2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"/>
  <sheetViews>
    <sheetView showGridLines="0" tabSelected="1" zoomScale="85" zoomScaleNormal="85" workbookViewId="0">
      <selection sqref="A1:I2"/>
    </sheetView>
  </sheetViews>
  <sheetFormatPr defaultColWidth="9" defaultRowHeight="14.25"/>
  <cols>
    <col min="1" max="1" width="4.125" style="1" customWidth="1"/>
    <col min="2" max="16384" width="9" style="1"/>
  </cols>
  <sheetData>
    <row r="1" spans="1:26">
      <c r="A1" s="194" t="s">
        <v>54</v>
      </c>
      <c r="B1" s="194"/>
      <c r="C1" s="194"/>
      <c r="D1" s="194"/>
      <c r="E1" s="194"/>
      <c r="F1" s="194"/>
      <c r="G1" s="194"/>
      <c r="H1" s="194"/>
      <c r="I1" s="194"/>
    </row>
    <row r="2" spans="1:26" ht="26.25" customHeight="1">
      <c r="A2" s="194"/>
      <c r="B2" s="194"/>
      <c r="C2" s="194"/>
      <c r="D2" s="194"/>
      <c r="E2" s="194"/>
      <c r="F2" s="194"/>
      <c r="G2" s="194"/>
      <c r="H2" s="194"/>
      <c r="I2" s="194"/>
    </row>
    <row r="4" spans="1:26" ht="23.25">
      <c r="A4" s="177">
        <v>1</v>
      </c>
      <c r="B4" s="178" t="s">
        <v>299</v>
      </c>
      <c r="C4" s="178"/>
      <c r="D4" s="178"/>
    </row>
    <row r="5" spans="1:26" ht="23.25">
      <c r="A5" s="177">
        <v>2</v>
      </c>
      <c r="B5" s="178" t="s">
        <v>257</v>
      </c>
      <c r="C5" s="178"/>
      <c r="D5" s="178"/>
    </row>
    <row r="6" spans="1:26" ht="23.25">
      <c r="A6" s="177">
        <v>3</v>
      </c>
      <c r="B6" s="178" t="s">
        <v>300</v>
      </c>
      <c r="C6" s="178"/>
      <c r="D6" s="178"/>
    </row>
    <row r="7" spans="1:26" ht="23.25">
      <c r="A7" s="177">
        <v>4</v>
      </c>
      <c r="B7" s="178" t="s">
        <v>245</v>
      </c>
      <c r="C7" s="178"/>
      <c r="D7" s="178"/>
    </row>
    <row r="8" spans="1:26" ht="22.5" customHeight="1">
      <c r="A8" s="177">
        <v>5</v>
      </c>
      <c r="B8" s="178" t="s">
        <v>256</v>
      </c>
      <c r="C8" s="178"/>
      <c r="D8" s="178"/>
    </row>
    <row r="9" spans="1:26" ht="23.25">
      <c r="A9" s="177">
        <v>6</v>
      </c>
      <c r="B9" s="178" t="s">
        <v>304</v>
      </c>
      <c r="C9" s="178"/>
      <c r="D9" s="178"/>
    </row>
    <row r="10" spans="1:26" ht="23.25">
      <c r="A10" s="177"/>
      <c r="C10" s="178"/>
      <c r="D10" s="178"/>
    </row>
    <row r="11" spans="1:26" ht="36.75" customHeight="1">
      <c r="A11" s="177"/>
      <c r="B11" s="179" t="s">
        <v>301</v>
      </c>
      <c r="C11" s="178"/>
      <c r="D11" s="178"/>
    </row>
    <row r="12" spans="1:26" s="178" customFormat="1" ht="51" customHeight="1">
      <c r="A12" s="177"/>
      <c r="B12" s="193" t="s">
        <v>303</v>
      </c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</row>
    <row r="13" spans="1:26" s="178" customFormat="1" ht="26.25" customHeight="1"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80"/>
      <c r="Y13" s="180"/>
      <c r="Z13" s="180"/>
    </row>
    <row r="14" spans="1:26" s="178" customFormat="1" ht="73.5" customHeight="1">
      <c r="B14" s="193" t="s">
        <v>302</v>
      </c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</row>
  </sheetData>
  <sheetProtection algorithmName="SHA-512" hashValue="uggXfEBpWYNjqxrQG1Yq0EbOwb86W5jXB5zNLZUAzfvPazl7QqkC7DN+T+VFfvG3H3pWU0lBn8Hg/JLq4jlqSg==" saltValue="RktpCGeYTbRQEadLUmPVvQ==" spinCount="100000" sheet="1" formatRows="0"/>
  <mergeCells count="3">
    <mergeCell ref="B14:Z14"/>
    <mergeCell ref="A1:I2"/>
    <mergeCell ref="B12:Z12"/>
  </mergeCells>
  <pageMargins left="0.31496062992125984" right="0.11811023622047245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7"/>
  <sheetViews>
    <sheetView topLeftCell="A34" zoomScaleNormal="100" workbookViewId="0">
      <selection activeCell="H39" sqref="H39"/>
    </sheetView>
  </sheetViews>
  <sheetFormatPr defaultRowHeight="14.25"/>
  <cols>
    <col min="1" max="1" width="10.875" customWidth="1"/>
    <col min="2" max="2" width="11.25" customWidth="1"/>
    <col min="3" max="4" width="15" customWidth="1"/>
    <col min="5" max="5" width="14.375" customWidth="1"/>
    <col min="6" max="6" width="11.125" customWidth="1"/>
    <col min="8" max="8" width="17.625" customWidth="1"/>
    <col min="9" max="9" width="18.25" customWidth="1"/>
  </cols>
  <sheetData>
    <row r="1" spans="1:6" ht="15">
      <c r="A1" s="205" t="s">
        <v>183</v>
      </c>
      <c r="B1" s="205"/>
      <c r="C1" s="205"/>
      <c r="D1" s="205"/>
      <c r="E1" s="205"/>
      <c r="F1" s="205"/>
    </row>
    <row r="2" spans="1:6" ht="17.25">
      <c r="A2" s="206" t="s">
        <v>216</v>
      </c>
      <c r="B2" s="206"/>
      <c r="C2" s="206"/>
      <c r="D2" s="206"/>
      <c r="E2" s="206"/>
      <c r="F2" s="206"/>
    </row>
    <row r="3" spans="1:6" ht="15">
      <c r="A3" s="206" t="s">
        <v>184</v>
      </c>
      <c r="B3" s="206"/>
      <c r="C3" s="206"/>
      <c r="D3" s="206"/>
      <c r="E3" s="206"/>
      <c r="F3" s="206"/>
    </row>
    <row r="4" spans="1:6" ht="5.25" customHeight="1">
      <c r="A4" s="72"/>
      <c r="B4" s="72"/>
      <c r="C4" s="72"/>
      <c r="D4" s="72"/>
      <c r="E4" s="72"/>
      <c r="F4" s="72"/>
    </row>
    <row r="5" spans="1:6" ht="30" customHeight="1">
      <c r="A5" s="207" t="e">
        <f>IF(#REF!&gt;0,#REF!,"")</f>
        <v>#REF!</v>
      </c>
      <c r="B5" s="207"/>
      <c r="C5" s="207"/>
      <c r="D5" s="207"/>
      <c r="E5" s="207"/>
      <c r="F5" s="207"/>
    </row>
    <row r="6" spans="1:6">
      <c r="A6" s="208" t="s">
        <v>185</v>
      </c>
      <c r="B6" s="208"/>
      <c r="C6" s="208"/>
      <c r="D6" s="208"/>
      <c r="E6" s="208"/>
      <c r="F6" s="208"/>
    </row>
    <row r="7" spans="1:6" ht="4.5" customHeight="1">
      <c r="A7" s="71"/>
      <c r="B7" s="71"/>
      <c r="C7" s="71"/>
      <c r="D7" s="71"/>
      <c r="E7" s="71"/>
      <c r="F7" s="71"/>
    </row>
    <row r="8" spans="1:6" ht="15">
      <c r="A8" s="90" t="s">
        <v>217</v>
      </c>
      <c r="B8" s="73"/>
      <c r="C8" s="73"/>
      <c r="D8" s="73"/>
      <c r="E8" s="73"/>
      <c r="F8" s="73"/>
    </row>
    <row r="9" spans="1:6">
      <c r="A9" s="73"/>
      <c r="B9" s="73"/>
      <c r="C9" s="73"/>
      <c r="D9" s="73"/>
      <c r="E9" s="73"/>
      <c r="F9" s="73"/>
    </row>
    <row r="10" spans="1:6">
      <c r="A10" s="74" t="s">
        <v>186</v>
      </c>
      <c r="B10" s="76"/>
      <c r="C10" s="200" t="s">
        <v>187</v>
      </c>
      <c r="D10" s="200"/>
      <c r="E10" s="211" t="s">
        <v>126</v>
      </c>
      <c r="F10" s="211"/>
    </row>
    <row r="11" spans="1:6">
      <c r="A11" s="74" t="s">
        <v>188</v>
      </c>
      <c r="B11" s="76"/>
      <c r="C11" s="198" t="e">
        <f>#REF!</f>
        <v>#REF!</v>
      </c>
      <c r="D11" s="201"/>
      <c r="E11" s="198" t="e">
        <f>#REF!</f>
        <v>#REF!</v>
      </c>
      <c r="F11" s="201"/>
    </row>
    <row r="12" spans="1:6">
      <c r="A12" s="74" t="s">
        <v>189</v>
      </c>
      <c r="B12" s="76"/>
      <c r="C12" s="198" t="e">
        <f>#REF!</f>
        <v>#REF!</v>
      </c>
      <c r="D12" s="199"/>
      <c r="E12" s="198" t="e">
        <f>#REF!</f>
        <v>#REF!</v>
      </c>
      <c r="F12" s="201"/>
    </row>
    <row r="13" spans="1:6">
      <c r="A13" s="74" t="s">
        <v>190</v>
      </c>
      <c r="B13" s="76"/>
      <c r="C13" s="198" t="e">
        <f>#REF!</f>
        <v>#REF!</v>
      </c>
      <c r="D13" s="199"/>
      <c r="E13" s="198" t="e">
        <f>#REF!</f>
        <v>#REF!</v>
      </c>
      <c r="F13" s="201"/>
    </row>
    <row r="14" spans="1:6">
      <c r="A14" s="209" t="s">
        <v>191</v>
      </c>
      <c r="B14" s="212"/>
      <c r="C14" s="198" t="e">
        <f>#REF!</f>
        <v>#REF!</v>
      </c>
      <c r="D14" s="199"/>
      <c r="E14" s="198" t="e">
        <f>#REF!</f>
        <v>#REF!</v>
      </c>
      <c r="F14" s="201"/>
    </row>
    <row r="15" spans="1:6">
      <c r="A15" s="74" t="s">
        <v>192</v>
      </c>
      <c r="B15" s="76"/>
      <c r="C15" s="198" t="e">
        <f>#REF!</f>
        <v>#REF!</v>
      </c>
      <c r="D15" s="199"/>
      <c r="E15" s="198" t="e">
        <f>#REF!</f>
        <v>#REF!</v>
      </c>
      <c r="F15" s="201"/>
    </row>
    <row r="16" spans="1:6" ht="26.25" customHeight="1">
      <c r="A16" s="209" t="s">
        <v>193</v>
      </c>
      <c r="B16" s="210"/>
      <c r="C16" s="198" t="e">
        <f>#REF!</f>
        <v>#REF!</v>
      </c>
      <c r="D16" s="199"/>
      <c r="E16" s="198" t="e">
        <f>#REF!</f>
        <v>#REF!</v>
      </c>
      <c r="F16" s="201"/>
    </row>
    <row r="17" spans="1:6">
      <c r="A17" s="74" t="s">
        <v>231</v>
      </c>
      <c r="B17" s="76"/>
      <c r="C17" s="198" t="e">
        <f>#REF!</f>
        <v>#REF!</v>
      </c>
      <c r="D17" s="199"/>
      <c r="E17" s="198" t="e">
        <f>#REF!</f>
        <v>#REF!</v>
      </c>
      <c r="F17" s="201"/>
    </row>
    <row r="18" spans="1:6" ht="6" customHeight="1">
      <c r="A18" s="73"/>
      <c r="B18" s="73"/>
      <c r="C18" s="73"/>
      <c r="D18" s="73"/>
      <c r="E18" s="73"/>
      <c r="F18" s="73"/>
    </row>
    <row r="19" spans="1:6" ht="18">
      <c r="A19" s="90" t="s">
        <v>230</v>
      </c>
      <c r="B19" s="73"/>
      <c r="C19" s="73"/>
      <c r="D19" s="73"/>
      <c r="E19" s="73"/>
      <c r="F19" s="73"/>
    </row>
    <row r="20" spans="1:6" ht="3.75" customHeight="1">
      <c r="A20" s="73"/>
      <c r="B20" s="73"/>
      <c r="C20" s="73"/>
      <c r="D20" s="73"/>
      <c r="E20" s="73"/>
      <c r="F20" s="73"/>
    </row>
    <row r="21" spans="1:6">
      <c r="A21" s="74" t="s">
        <v>186</v>
      </c>
      <c r="B21" s="76"/>
      <c r="C21" s="198" t="s">
        <v>187</v>
      </c>
      <c r="D21" s="201"/>
      <c r="E21" s="198" t="s">
        <v>126</v>
      </c>
      <c r="F21" s="201"/>
    </row>
    <row r="22" spans="1:6">
      <c r="A22" s="74" t="s">
        <v>194</v>
      </c>
      <c r="B22" s="76"/>
      <c r="C22" s="88" t="e">
        <f>IF(#REF!&gt;0,#REF!,IF(#REF!&gt;0,#REF!))</f>
        <v>#REF!</v>
      </c>
      <c r="D22" s="75" t="e">
        <f>IF(#REF!&gt;0,#REF!,IF(#REF!&gt;0,#REF!))</f>
        <v>#REF!</v>
      </c>
      <c r="E22" s="74" t="e">
        <f>IF(#REF!&gt;0,#REF!,IF(#REF!&gt;0,#REF!))</f>
        <v>#REF!</v>
      </c>
      <c r="F22" s="75" t="e">
        <f>IF(#REF!&gt;0,#REF!,IF(#REF!&gt;0,#REF!))</f>
        <v>#REF!</v>
      </c>
    </row>
    <row r="23" spans="1:6">
      <c r="A23" s="74" t="s">
        <v>195</v>
      </c>
      <c r="B23" s="76"/>
      <c r="C23" s="89" t="e">
        <f>#REF!</f>
        <v>#REF!</v>
      </c>
      <c r="D23" s="75" t="e">
        <f>IF(#REF!="kg","kg/rok",IF(#REF!="m3","m3/rok"))</f>
        <v>#REF!</v>
      </c>
      <c r="E23" s="89" t="e">
        <f>#REF!</f>
        <v>#REF!</v>
      </c>
      <c r="F23" s="75" t="e">
        <f>IF(#REF!="kg","kg/rok",IF(#REF!="m3","m3/rok"))</f>
        <v>#REF!</v>
      </c>
    </row>
    <row r="24" spans="1:6">
      <c r="A24" s="74" t="s">
        <v>196</v>
      </c>
      <c r="B24" s="76"/>
      <c r="C24" s="217" t="e">
        <f>#REF!</f>
        <v>#REF!</v>
      </c>
      <c r="D24" s="201"/>
      <c r="E24" s="198" t="e">
        <f>#REF!</f>
        <v>#REF!</v>
      </c>
      <c r="F24" s="201"/>
    </row>
    <row r="25" spans="1:6">
      <c r="A25" s="74" t="s">
        <v>197</v>
      </c>
      <c r="B25" s="75"/>
      <c r="C25" s="217" t="e">
        <f>#REF!</f>
        <v>#REF!</v>
      </c>
      <c r="D25" s="201"/>
      <c r="E25" s="217" t="e">
        <f>#REF!</f>
        <v>#REF!</v>
      </c>
      <c r="F25" s="201"/>
    </row>
    <row r="26" spans="1:6" ht="3.75" customHeight="1">
      <c r="A26" s="73"/>
      <c r="B26" s="73"/>
      <c r="C26" s="73"/>
      <c r="D26" s="73"/>
      <c r="E26" s="73"/>
      <c r="F26" s="73"/>
    </row>
    <row r="27" spans="1:6" ht="25.5" customHeight="1">
      <c r="A27" s="218" t="s">
        <v>200</v>
      </c>
      <c r="B27" s="218"/>
      <c r="C27" s="84" t="e">
        <f>#REF!</f>
        <v>#REF!</v>
      </c>
      <c r="E27" s="87" t="e">
        <f>#REF!</f>
        <v>#REF!</v>
      </c>
    </row>
    <row r="28" spans="1:6" ht="6.75" customHeight="1"/>
    <row r="29" spans="1:6">
      <c r="A29" s="204" t="s">
        <v>123</v>
      </c>
      <c r="B29" s="204"/>
      <c r="C29" s="200" t="s">
        <v>124</v>
      </c>
      <c r="D29" s="200"/>
      <c r="E29" s="200" t="s">
        <v>125</v>
      </c>
      <c r="F29" s="200"/>
    </row>
    <row r="30" spans="1:6" ht="14.25" customHeight="1">
      <c r="A30" s="204"/>
      <c r="B30" s="204"/>
      <c r="C30" s="83" t="s">
        <v>198</v>
      </c>
      <c r="D30" s="83" t="s">
        <v>126</v>
      </c>
      <c r="E30" s="83" t="s">
        <v>127</v>
      </c>
      <c r="F30" s="83" t="s">
        <v>128</v>
      </c>
    </row>
    <row r="31" spans="1:6">
      <c r="A31" s="85">
        <v>1</v>
      </c>
      <c r="B31" s="85"/>
      <c r="C31" s="83">
        <v>2</v>
      </c>
      <c r="D31" s="83">
        <v>3</v>
      </c>
      <c r="E31" s="83">
        <v>4</v>
      </c>
      <c r="F31" s="83">
        <v>5</v>
      </c>
    </row>
    <row r="32" spans="1:6" ht="29.25" customHeight="1">
      <c r="A32" s="219" t="s">
        <v>199</v>
      </c>
      <c r="B32" s="220"/>
      <c r="C32" s="107" t="e">
        <f>#REF!</f>
        <v>#REF!</v>
      </c>
      <c r="D32" s="107" t="e">
        <f>#REF!</f>
        <v>#REF!</v>
      </c>
      <c r="E32" s="91" t="e">
        <f>#REF!</f>
        <v>#REF!</v>
      </c>
      <c r="F32" s="107" t="e">
        <f>#REF!</f>
        <v>#REF!</v>
      </c>
    </row>
    <row r="33" spans="1:6" ht="6.75" customHeight="1">
      <c r="A33" s="73"/>
      <c r="B33" s="73"/>
      <c r="C33" s="73"/>
      <c r="D33" s="73"/>
      <c r="E33" s="73"/>
      <c r="F33" s="73"/>
    </row>
    <row r="34" spans="1:6" ht="18">
      <c r="A34" s="90" t="s">
        <v>229</v>
      </c>
      <c r="B34" s="73"/>
      <c r="C34" s="73"/>
      <c r="D34" s="73"/>
      <c r="E34" s="73"/>
      <c r="F34" s="73"/>
    </row>
    <row r="35" spans="1:6" ht="3.75" customHeight="1">
      <c r="A35" s="73"/>
      <c r="B35" s="73"/>
      <c r="C35" s="73"/>
      <c r="D35" s="73"/>
      <c r="E35" s="73"/>
      <c r="F35" s="73"/>
    </row>
    <row r="36" spans="1:6" ht="15.75" customHeight="1">
      <c r="A36" s="74" t="s">
        <v>186</v>
      </c>
      <c r="B36" s="76"/>
      <c r="C36" s="200" t="s">
        <v>187</v>
      </c>
      <c r="D36" s="200"/>
      <c r="E36" s="200" t="s">
        <v>126</v>
      </c>
      <c r="F36" s="200"/>
    </row>
    <row r="37" spans="1:6" ht="24.95" customHeight="1">
      <c r="A37" s="209" t="s">
        <v>201</v>
      </c>
      <c r="B37" s="212"/>
      <c r="C37" s="198" t="e">
        <f>#REF!</f>
        <v>#REF!</v>
      </c>
      <c r="D37" s="201"/>
      <c r="E37" s="198" t="e">
        <f>#REF!</f>
        <v>#REF!</v>
      </c>
      <c r="F37" s="201"/>
    </row>
    <row r="38" spans="1:6">
      <c r="A38" s="209" t="s">
        <v>202</v>
      </c>
      <c r="B38" s="212"/>
      <c r="C38" s="198" t="e">
        <f>#REF!</f>
        <v>#REF!</v>
      </c>
      <c r="D38" s="201"/>
      <c r="E38" s="198" t="e">
        <f>#REF!</f>
        <v>#REF!</v>
      </c>
      <c r="F38" s="201"/>
    </row>
    <row r="39" spans="1:6">
      <c r="A39" s="209" t="s">
        <v>203</v>
      </c>
      <c r="B39" s="212"/>
      <c r="C39" s="198" t="e">
        <f>#REF!</f>
        <v>#REF!</v>
      </c>
      <c r="D39" s="201"/>
      <c r="E39" s="198" t="e">
        <f>#REF!</f>
        <v>#REF!</v>
      </c>
      <c r="F39" s="201"/>
    </row>
    <row r="40" spans="1:6">
      <c r="A40" s="198" t="s">
        <v>228</v>
      </c>
      <c r="B40" s="199"/>
      <c r="C40" s="199"/>
      <c r="D40" s="199"/>
      <c r="E40" s="199"/>
      <c r="F40" s="201"/>
    </row>
    <row r="41" spans="1:6">
      <c r="A41" s="77" t="s">
        <v>204</v>
      </c>
      <c r="B41" s="79"/>
      <c r="C41" s="221" t="e">
        <f xml:space="preserve"> IF(#REF!="ton (Mg)",#REF!,)</f>
        <v>#REF!</v>
      </c>
      <c r="D41" s="222"/>
      <c r="E41" s="221" t="e">
        <f xml:space="preserve"> IF(#REF!="ton (Mg)",#REF!,)</f>
        <v>#REF!</v>
      </c>
      <c r="F41" s="222"/>
    </row>
    <row r="42" spans="1:6" ht="15">
      <c r="A42" s="74" t="s">
        <v>226</v>
      </c>
      <c r="B42" s="76"/>
      <c r="C42" s="221" t="e">
        <f xml:space="preserve"> IF(#REF!="mln m3",#REF!,)</f>
        <v>#REF!</v>
      </c>
      <c r="D42" s="222"/>
      <c r="E42" s="221" t="e">
        <f xml:space="preserve"> IF(#REF!="mln m3",#REF!,)</f>
        <v>#REF!</v>
      </c>
      <c r="F42" s="222"/>
    </row>
    <row r="43" spans="1:6" ht="15">
      <c r="A43" s="77" t="s">
        <v>205</v>
      </c>
      <c r="B43" s="79"/>
      <c r="C43" s="221" t="e">
        <f xml:space="preserve"> IF(#REF!="m3",#REF!,)</f>
        <v>#REF!</v>
      </c>
      <c r="D43" s="222"/>
      <c r="E43" s="221" t="e">
        <f xml:space="preserve"> IF(#REF!="m3",#REF!,)</f>
        <v>#REF!</v>
      </c>
      <c r="F43" s="222"/>
    </row>
    <row r="44" spans="1:6" ht="6" customHeight="1">
      <c r="A44" s="73"/>
      <c r="B44" s="73"/>
      <c r="C44" s="73"/>
      <c r="D44" s="73"/>
      <c r="E44" s="73"/>
      <c r="F44" s="73"/>
    </row>
    <row r="45" spans="1:6">
      <c r="A45" s="204" t="s">
        <v>123</v>
      </c>
      <c r="B45" s="204"/>
      <c r="C45" s="200" t="s">
        <v>124</v>
      </c>
      <c r="D45" s="200"/>
      <c r="E45" s="200" t="s">
        <v>125</v>
      </c>
      <c r="F45" s="200"/>
    </row>
    <row r="46" spans="1:6">
      <c r="A46" s="204"/>
      <c r="B46" s="204"/>
      <c r="C46" s="83" t="s">
        <v>198</v>
      </c>
      <c r="D46" s="83" t="s">
        <v>126</v>
      </c>
      <c r="E46" s="83" t="s">
        <v>127</v>
      </c>
      <c r="F46" s="83" t="s">
        <v>128</v>
      </c>
    </row>
    <row r="47" spans="1:6">
      <c r="A47" s="213">
        <v>1</v>
      </c>
      <c r="B47" s="213"/>
      <c r="C47" s="83">
        <v>2</v>
      </c>
      <c r="D47" s="83">
        <v>3</v>
      </c>
      <c r="E47" s="83">
        <v>4</v>
      </c>
      <c r="F47" s="83">
        <v>5</v>
      </c>
    </row>
    <row r="48" spans="1:6" ht="15">
      <c r="A48" s="214" t="s">
        <v>206</v>
      </c>
      <c r="B48" s="215"/>
      <c r="C48" s="106" t="e">
        <f>Podsumowanie!E31</f>
        <v>#REF!</v>
      </c>
      <c r="D48" s="106" t="e">
        <f>Podsumowanie!G31</f>
        <v>#REF!</v>
      </c>
      <c r="E48" s="92" t="e">
        <f>Podsumowanie!H31</f>
        <v>#REF!</v>
      </c>
      <c r="F48" s="108" t="e">
        <f>Podsumowanie!J31</f>
        <v>#REF!</v>
      </c>
    </row>
    <row r="49" spans="1:6" ht="15">
      <c r="A49" s="216" t="s">
        <v>207</v>
      </c>
      <c r="B49" s="215"/>
      <c r="C49" s="106" t="e">
        <f>Podsumowanie!E32</f>
        <v>#REF!</v>
      </c>
      <c r="D49" s="106" t="e">
        <f>Podsumowanie!G32</f>
        <v>#REF!</v>
      </c>
      <c r="E49" s="92" t="e">
        <f>Podsumowanie!H32</f>
        <v>#REF!</v>
      </c>
      <c r="F49" s="108" t="e">
        <f>Podsumowanie!J32</f>
        <v>#REF!</v>
      </c>
    </row>
    <row r="50" spans="1:6">
      <c r="A50" s="216" t="s">
        <v>43</v>
      </c>
      <c r="B50" s="215"/>
      <c r="C50" s="106" t="e">
        <f>Podsumowanie!E34</f>
        <v>#REF!</v>
      </c>
      <c r="D50" s="106" t="e">
        <f>Podsumowanie!G34</f>
        <v>#REF!</v>
      </c>
      <c r="E50" s="92" t="e">
        <f>Podsumowanie!H34</f>
        <v>#REF!</v>
      </c>
      <c r="F50" s="108" t="e">
        <f>Podsumowanie!J34</f>
        <v>#REF!</v>
      </c>
    </row>
    <row r="51" spans="1:6">
      <c r="A51" s="216" t="s">
        <v>44</v>
      </c>
      <c r="B51" s="215"/>
      <c r="C51" s="106" t="e">
        <f>Podsumowanie!E35</f>
        <v>#REF!</v>
      </c>
      <c r="D51" s="106" t="e">
        <f>Podsumowanie!G35</f>
        <v>#REF!</v>
      </c>
      <c r="E51" s="92" t="e">
        <f>Podsumowanie!H35</f>
        <v>#REF!</v>
      </c>
      <c r="F51" s="108" t="e">
        <f>Podsumowanie!J35</f>
        <v>#REF!</v>
      </c>
    </row>
    <row r="52" spans="1:6">
      <c r="A52" s="73"/>
      <c r="B52" s="73"/>
      <c r="C52" s="73"/>
      <c r="D52" s="73"/>
      <c r="E52" s="73"/>
      <c r="F52" s="73"/>
    </row>
    <row r="53" spans="1:6" ht="13.5" customHeight="1">
      <c r="A53" s="110"/>
      <c r="B53" s="110"/>
      <c r="C53" s="110"/>
      <c r="D53" s="110"/>
      <c r="E53" s="110"/>
      <c r="F53" s="110"/>
    </row>
    <row r="54" spans="1:6">
      <c r="A54" s="78"/>
      <c r="B54" s="78"/>
      <c r="C54" s="78"/>
      <c r="D54" s="78"/>
      <c r="E54" s="78"/>
      <c r="F54" s="78"/>
    </row>
    <row r="55" spans="1:6" ht="18.75" customHeight="1">
      <c r="A55" s="109"/>
      <c r="B55" s="109"/>
      <c r="C55" s="109"/>
      <c r="D55" s="109"/>
      <c r="E55" s="109"/>
      <c r="F55" s="109"/>
    </row>
    <row r="56" spans="1:6">
      <c r="A56" s="73"/>
      <c r="B56" s="73"/>
      <c r="C56" s="73"/>
      <c r="D56" s="73"/>
      <c r="E56" s="73"/>
      <c r="F56" s="73"/>
    </row>
    <row r="57" spans="1:6">
      <c r="A57" s="196" t="e">
        <f>IF(#REF!&gt;0,#REF!,"")</f>
        <v>#REF!</v>
      </c>
      <c r="B57" s="196"/>
      <c r="C57" s="197" t="e">
        <f>IF(#REF!&gt;0,#REF!,"")</f>
        <v>#REF!</v>
      </c>
      <c r="D57" s="197"/>
      <c r="F57" s="73"/>
    </row>
    <row r="58" spans="1:6">
      <c r="A58" s="203" t="s">
        <v>224</v>
      </c>
      <c r="B58" s="203"/>
      <c r="C58" s="203" t="s">
        <v>225</v>
      </c>
      <c r="D58" s="203"/>
      <c r="F58" s="73"/>
    </row>
    <row r="59" spans="1:6" ht="15">
      <c r="A59" s="71"/>
      <c r="B59" s="73"/>
      <c r="C59" s="73"/>
      <c r="D59" s="73"/>
      <c r="E59" s="73"/>
      <c r="F59" s="73"/>
    </row>
    <row r="60" spans="1:6" ht="15">
      <c r="A60" s="71"/>
      <c r="B60" s="73"/>
      <c r="C60" s="73"/>
      <c r="D60" s="73"/>
      <c r="E60" s="73"/>
      <c r="F60" s="73"/>
    </row>
    <row r="61" spans="1:6" ht="15">
      <c r="A61" s="71"/>
      <c r="B61" s="73"/>
      <c r="D61" s="73"/>
      <c r="E61" s="73"/>
      <c r="F61" s="73"/>
    </row>
    <row r="62" spans="1:6" ht="15">
      <c r="A62" s="71"/>
      <c r="B62" s="73"/>
      <c r="C62" s="73"/>
      <c r="D62" s="73"/>
      <c r="E62" s="73"/>
      <c r="F62" s="73"/>
    </row>
    <row r="63" spans="1:6" ht="15">
      <c r="A63" s="71"/>
      <c r="B63" s="73"/>
      <c r="C63" s="73"/>
      <c r="D63" s="73"/>
      <c r="E63" s="73"/>
      <c r="F63" s="73"/>
    </row>
    <row r="64" spans="1:6" ht="15">
      <c r="A64" s="71"/>
      <c r="B64" s="73"/>
      <c r="C64" s="73"/>
      <c r="D64" s="73"/>
      <c r="E64" s="73"/>
      <c r="F64" s="73"/>
    </row>
    <row r="65" spans="1:6" ht="15">
      <c r="A65" s="71"/>
      <c r="B65" s="73"/>
      <c r="C65" s="73"/>
      <c r="D65" s="73"/>
      <c r="E65" s="73"/>
      <c r="F65" s="73"/>
    </row>
    <row r="66" spans="1:6" ht="15">
      <c r="A66" s="71"/>
      <c r="B66" s="73"/>
      <c r="C66" s="73"/>
      <c r="D66" s="73"/>
      <c r="E66" s="73"/>
      <c r="F66" s="73"/>
    </row>
    <row r="67" spans="1:6" ht="15">
      <c r="A67" s="71"/>
      <c r="B67" s="73"/>
      <c r="C67" s="73"/>
      <c r="D67" s="73"/>
      <c r="E67" s="73"/>
      <c r="F67" s="73"/>
    </row>
    <row r="68" spans="1:6" ht="15">
      <c r="A68" s="71"/>
      <c r="B68" s="73"/>
      <c r="C68" s="73"/>
      <c r="D68" s="73"/>
      <c r="E68" s="73"/>
      <c r="F68" s="73"/>
    </row>
    <row r="69" spans="1:6" ht="15">
      <c r="A69" s="71"/>
      <c r="B69" s="73"/>
      <c r="C69" s="73"/>
      <c r="D69" s="73"/>
      <c r="E69" s="73"/>
      <c r="F69" s="73"/>
    </row>
    <row r="70" spans="1:6" ht="15">
      <c r="A70" s="71"/>
      <c r="B70" s="73"/>
      <c r="C70" s="73"/>
      <c r="D70" s="73"/>
      <c r="E70" s="73"/>
      <c r="F70" s="73"/>
    </row>
    <row r="71" spans="1:6" ht="15">
      <c r="A71" s="71"/>
      <c r="B71" s="73"/>
      <c r="C71" s="73"/>
      <c r="D71" s="73"/>
      <c r="E71" s="73"/>
      <c r="F71" s="73"/>
    </row>
    <row r="72" spans="1:6" ht="15">
      <c r="A72" s="71"/>
      <c r="B72" s="73"/>
      <c r="C72" s="73"/>
      <c r="D72" s="73"/>
      <c r="E72" s="73"/>
      <c r="F72" s="73"/>
    </row>
    <row r="73" spans="1:6" ht="15">
      <c r="A73" s="71"/>
      <c r="B73" s="73"/>
      <c r="C73" s="73"/>
      <c r="D73" s="73"/>
      <c r="E73" s="73"/>
      <c r="F73" s="73"/>
    </row>
    <row r="74" spans="1:6">
      <c r="A74" s="73"/>
      <c r="B74" s="73"/>
      <c r="C74" s="73"/>
      <c r="D74" s="73"/>
      <c r="E74" s="73"/>
      <c r="F74" s="73"/>
    </row>
    <row r="75" spans="1:6" ht="15">
      <c r="A75" s="73"/>
      <c r="B75" s="73"/>
      <c r="C75" s="73"/>
      <c r="D75" s="71" t="s">
        <v>208</v>
      </c>
      <c r="E75" s="71"/>
      <c r="F75" s="71"/>
    </row>
    <row r="76" spans="1:6" ht="15">
      <c r="A76" s="73"/>
      <c r="B76" s="73"/>
      <c r="C76" s="73"/>
      <c r="D76" s="86" t="s">
        <v>209</v>
      </c>
      <c r="E76" s="71"/>
      <c r="F76" s="71"/>
    </row>
    <row r="77" spans="1:6" ht="15">
      <c r="A77" s="73"/>
      <c r="B77" s="73"/>
      <c r="C77" s="73"/>
      <c r="D77" s="86" t="s">
        <v>210</v>
      </c>
      <c r="E77" s="71"/>
      <c r="F77" s="71"/>
    </row>
    <row r="78" spans="1:6" ht="15">
      <c r="D78" s="71"/>
      <c r="E78" s="71"/>
      <c r="F78" s="71"/>
    </row>
    <row r="79" spans="1:6" ht="15">
      <c r="A79" s="202" t="e">
        <f>IF(#REF!&gt;0,#REF!,"")</f>
        <v>#REF!</v>
      </c>
      <c r="B79" s="202"/>
      <c r="C79" s="95"/>
      <c r="D79" s="97">
        <f ca="1">TODAY()</f>
        <v>44804</v>
      </c>
    </row>
    <row r="80" spans="1:6" ht="15">
      <c r="A80" s="203" t="s">
        <v>211</v>
      </c>
      <c r="B80" s="203"/>
      <c r="C80" s="94"/>
      <c r="D80" s="96" t="s">
        <v>223</v>
      </c>
      <c r="E80" s="71"/>
      <c r="F80" s="71"/>
    </row>
    <row r="81" spans="1:6" ht="15">
      <c r="A81" s="73"/>
      <c r="B81" s="71"/>
      <c r="C81" s="71"/>
      <c r="D81" s="71"/>
      <c r="E81" s="71"/>
      <c r="F81" s="71"/>
    </row>
    <row r="82" spans="1:6" ht="15">
      <c r="A82" s="79"/>
      <c r="B82" s="80"/>
      <c r="C82" s="81"/>
      <c r="D82" s="71"/>
      <c r="E82" s="71"/>
      <c r="F82" s="71"/>
    </row>
    <row r="83" spans="1:6">
      <c r="A83" s="82" t="s">
        <v>212</v>
      </c>
      <c r="B83" s="81"/>
      <c r="C83" s="81"/>
      <c r="D83" s="81"/>
      <c r="E83" s="81"/>
      <c r="F83" s="81"/>
    </row>
    <row r="84" spans="1:6" ht="30" customHeight="1">
      <c r="A84" s="195" t="s">
        <v>213</v>
      </c>
      <c r="B84" s="195"/>
      <c r="C84" s="195"/>
      <c r="D84" s="195"/>
      <c r="E84" s="195"/>
      <c r="F84" s="195"/>
    </row>
    <row r="85" spans="1:6" ht="29.25" customHeight="1">
      <c r="A85" s="195" t="s">
        <v>214</v>
      </c>
      <c r="B85" s="195"/>
      <c r="C85" s="195"/>
      <c r="D85" s="195"/>
      <c r="E85" s="195"/>
      <c r="F85" s="195"/>
    </row>
    <row r="86" spans="1:6" ht="15" customHeight="1"/>
    <row r="87" spans="1:6" ht="15" customHeight="1"/>
  </sheetData>
  <mergeCells count="68">
    <mergeCell ref="A32:B32"/>
    <mergeCell ref="C43:D43"/>
    <mergeCell ref="E41:F41"/>
    <mergeCell ref="E42:F42"/>
    <mergeCell ref="E43:F43"/>
    <mergeCell ref="E37:F37"/>
    <mergeCell ref="E38:F38"/>
    <mergeCell ref="E39:F39"/>
    <mergeCell ref="C39:D39"/>
    <mergeCell ref="C41:D41"/>
    <mergeCell ref="A40:F40"/>
    <mergeCell ref="C42:D42"/>
    <mergeCell ref="A37:B37"/>
    <mergeCell ref="A38:B38"/>
    <mergeCell ref="A39:B39"/>
    <mergeCell ref="E36:F36"/>
    <mergeCell ref="C24:D24"/>
    <mergeCell ref="C25:D25"/>
    <mergeCell ref="E24:F24"/>
    <mergeCell ref="E25:F25"/>
    <mergeCell ref="A27:B27"/>
    <mergeCell ref="E45:F45"/>
    <mergeCell ref="A47:B47"/>
    <mergeCell ref="A84:F84"/>
    <mergeCell ref="A48:B48"/>
    <mergeCell ref="A49:B49"/>
    <mergeCell ref="A50:B50"/>
    <mergeCell ref="A51:B51"/>
    <mergeCell ref="A45:B46"/>
    <mergeCell ref="C45:D45"/>
    <mergeCell ref="A58:B58"/>
    <mergeCell ref="C58:D58"/>
    <mergeCell ref="A16:B16"/>
    <mergeCell ref="C10:D10"/>
    <mergeCell ref="E10:F10"/>
    <mergeCell ref="C21:D21"/>
    <mergeCell ref="E21:F21"/>
    <mergeCell ref="A14:B14"/>
    <mergeCell ref="C11:D11"/>
    <mergeCell ref="E11:F11"/>
    <mergeCell ref="E12:F12"/>
    <mergeCell ref="E13:F13"/>
    <mergeCell ref="E14:F14"/>
    <mergeCell ref="E15:F15"/>
    <mergeCell ref="E16:F16"/>
    <mergeCell ref="E17:F17"/>
    <mergeCell ref="A1:F1"/>
    <mergeCell ref="A2:F2"/>
    <mergeCell ref="A3:F3"/>
    <mergeCell ref="C12:D12"/>
    <mergeCell ref="A5:F5"/>
    <mergeCell ref="A6:F6"/>
    <mergeCell ref="A85:F85"/>
    <mergeCell ref="A57:B57"/>
    <mergeCell ref="C57:D57"/>
    <mergeCell ref="C13:D13"/>
    <mergeCell ref="C14:D14"/>
    <mergeCell ref="C15:D15"/>
    <mergeCell ref="C16:D16"/>
    <mergeCell ref="C17:D17"/>
    <mergeCell ref="C36:D36"/>
    <mergeCell ref="C37:D37"/>
    <mergeCell ref="C38:D38"/>
    <mergeCell ref="C29:D29"/>
    <mergeCell ref="E29:F29"/>
    <mergeCell ref="A79:B79"/>
    <mergeCell ref="A80:B80"/>
    <mergeCell ref="A29:B30"/>
  </mergeCells>
  <conditionalFormatting sqref="A57:B57">
    <cfRule type="cellIs" dxfId="25" priority="3" operator="equal">
      <formula>""</formula>
    </cfRule>
  </conditionalFormatting>
  <conditionalFormatting sqref="C57:D57">
    <cfRule type="cellIs" dxfId="24" priority="2" operator="equal">
      <formula>""</formula>
    </cfRule>
  </conditionalFormatting>
  <conditionalFormatting sqref="A79:B79">
    <cfRule type="cellIs" dxfId="23" priority="1" operator="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C299"/>
  <sheetViews>
    <sheetView zoomScaleNormal="100" zoomScaleSheetLayoutView="100" workbookViewId="0">
      <selection activeCell="A5" sqref="A5:F5"/>
    </sheetView>
  </sheetViews>
  <sheetFormatPr defaultColWidth="9" defaultRowHeight="14.25"/>
  <cols>
    <col min="1" max="1" width="11.75" style="1" customWidth="1"/>
    <col min="2" max="2" width="16.75" style="1" customWidth="1"/>
    <col min="3" max="3" width="14.75" style="1" customWidth="1"/>
    <col min="4" max="4" width="14.5" style="1" customWidth="1"/>
    <col min="5" max="5" width="14.25" style="1" customWidth="1"/>
    <col min="6" max="6" width="14.875" style="1" customWidth="1"/>
    <col min="7" max="16384" width="9" style="1"/>
  </cols>
  <sheetData>
    <row r="1" spans="1:51" ht="12.75" customHeight="1">
      <c r="A1" s="261" t="s">
        <v>183</v>
      </c>
      <c r="B1" s="261"/>
      <c r="C1" s="261"/>
      <c r="D1" s="261"/>
      <c r="E1" s="261"/>
      <c r="F1" s="261"/>
      <c r="M1" s="14"/>
      <c r="N1" s="126"/>
      <c r="O1" s="126"/>
      <c r="P1" s="126"/>
      <c r="Q1" s="126"/>
      <c r="R1" s="126"/>
      <c r="S1" s="126"/>
      <c r="T1" s="126"/>
      <c r="U1" s="126"/>
      <c r="V1" s="126"/>
      <c r="W1" s="154"/>
      <c r="X1" s="154"/>
      <c r="Y1" s="154"/>
      <c r="Z1" s="154"/>
      <c r="AA1" s="14"/>
      <c r="AB1" s="14"/>
      <c r="AC1" s="14"/>
      <c r="AD1" s="14"/>
      <c r="AE1" s="14"/>
      <c r="AF1" s="14"/>
      <c r="AG1" s="14"/>
      <c r="AH1" s="14"/>
      <c r="AI1" s="228"/>
      <c r="AJ1" s="228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</row>
    <row r="2" spans="1:51" ht="14.25" customHeight="1">
      <c r="A2" s="265" t="s">
        <v>216</v>
      </c>
      <c r="B2" s="265"/>
      <c r="C2" s="265"/>
      <c r="D2" s="265"/>
      <c r="E2" s="265"/>
      <c r="F2" s="265"/>
      <c r="M2" s="14"/>
      <c r="N2" s="126"/>
      <c r="O2" s="126"/>
      <c r="P2" s="126"/>
      <c r="Q2" s="126"/>
      <c r="R2" s="126"/>
      <c r="S2" s="126"/>
      <c r="T2" s="126"/>
      <c r="U2" s="126"/>
      <c r="V2" s="126"/>
      <c r="W2" s="154"/>
      <c r="X2" s="154"/>
      <c r="Y2" s="154"/>
      <c r="Z2" s="15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</row>
    <row r="3" spans="1:51" ht="13.5" customHeight="1">
      <c r="A3" s="265" t="s">
        <v>184</v>
      </c>
      <c r="B3" s="265"/>
      <c r="C3" s="265"/>
      <c r="D3" s="265"/>
      <c r="E3" s="265"/>
      <c r="F3" s="265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</row>
    <row r="4" spans="1:51" ht="3" customHeight="1">
      <c r="A4" s="182"/>
      <c r="B4" s="182"/>
      <c r="C4" s="182"/>
      <c r="D4" s="182"/>
      <c r="E4" s="182"/>
      <c r="F4" s="182"/>
      <c r="M4" s="14"/>
      <c r="N4" s="118"/>
      <c r="O4" s="118"/>
      <c r="P4" s="118"/>
      <c r="Q4" s="118"/>
      <c r="R4" s="118"/>
      <c r="S4" s="118"/>
      <c r="T4" s="14"/>
      <c r="U4" s="118"/>
      <c r="V4" s="118"/>
      <c r="W4" s="118"/>
      <c r="X4" s="118"/>
      <c r="Y4" s="118"/>
      <c r="Z4" s="118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</row>
    <row r="5" spans="1:51" ht="35.25" customHeight="1">
      <c r="A5" s="266"/>
      <c r="B5" s="266"/>
      <c r="C5" s="266"/>
      <c r="D5" s="266"/>
      <c r="E5" s="266"/>
      <c r="F5" s="266"/>
      <c r="M5" s="14"/>
      <c r="N5" s="17"/>
      <c r="O5" s="17"/>
      <c r="P5" s="17"/>
      <c r="Q5" s="17"/>
      <c r="R5" s="17"/>
      <c r="S5" s="17"/>
      <c r="T5" s="14"/>
      <c r="U5" s="17"/>
      <c r="V5" s="17"/>
      <c r="W5" s="17"/>
      <c r="X5" s="17"/>
      <c r="Y5" s="17"/>
      <c r="Z5" s="17"/>
      <c r="AA5" s="14"/>
      <c r="AB5" s="14"/>
      <c r="AC5" s="14"/>
      <c r="AD5" s="14"/>
      <c r="AE5" s="14"/>
      <c r="AF5" s="14"/>
      <c r="AG5" s="14"/>
      <c r="AH5" s="14"/>
      <c r="AI5" s="132"/>
      <c r="AJ5" s="155"/>
      <c r="AK5" s="14"/>
      <c r="AL5" s="156"/>
      <c r="AM5" s="14"/>
      <c r="AN5" s="156"/>
      <c r="AO5" s="14"/>
      <c r="AP5" s="132"/>
      <c r="AQ5" s="14"/>
      <c r="AR5" s="14"/>
      <c r="AS5" s="14"/>
      <c r="AT5" s="14"/>
      <c r="AU5" s="132"/>
      <c r="AV5" s="157"/>
      <c r="AW5" s="157"/>
      <c r="AX5" s="157"/>
      <c r="AY5" s="14"/>
    </row>
    <row r="6" spans="1:51" ht="11.25" customHeight="1">
      <c r="A6" s="267" t="s">
        <v>185</v>
      </c>
      <c r="B6" s="267"/>
      <c r="C6" s="267"/>
      <c r="D6" s="267"/>
      <c r="E6" s="267"/>
      <c r="F6" s="267"/>
      <c r="M6" s="14"/>
      <c r="N6" s="183"/>
      <c r="O6" s="183"/>
      <c r="P6" s="183"/>
      <c r="Q6" s="183"/>
      <c r="R6" s="183"/>
      <c r="S6" s="183"/>
      <c r="T6" s="14"/>
      <c r="U6" s="183"/>
      <c r="V6" s="183"/>
      <c r="W6" s="183"/>
      <c r="X6" s="183"/>
      <c r="Y6" s="183"/>
      <c r="Z6" s="183"/>
      <c r="AA6" s="14"/>
      <c r="AB6" s="14"/>
      <c r="AC6" s="14"/>
      <c r="AD6" s="14"/>
      <c r="AE6" s="14"/>
      <c r="AF6" s="14"/>
      <c r="AG6" s="14"/>
      <c r="AH6" s="14"/>
      <c r="AI6" s="132"/>
      <c r="AJ6" s="155"/>
      <c r="AK6" s="14"/>
      <c r="AL6" s="156"/>
      <c r="AM6" s="14"/>
      <c r="AN6" s="156"/>
      <c r="AO6" s="14"/>
      <c r="AP6" s="132"/>
      <c r="AQ6" s="14"/>
      <c r="AR6" s="14"/>
      <c r="AS6" s="14"/>
      <c r="AT6" s="14"/>
      <c r="AU6" s="132"/>
      <c r="AV6" s="157"/>
      <c r="AW6" s="157"/>
      <c r="AX6" s="157"/>
      <c r="AY6" s="14"/>
    </row>
    <row r="7" spans="1:51" ht="3.75" customHeight="1">
      <c r="A7" s="150"/>
      <c r="B7" s="150"/>
      <c r="C7" s="150"/>
      <c r="D7" s="150"/>
      <c r="E7" s="150"/>
      <c r="F7" s="150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32"/>
      <c r="AJ7" s="155"/>
      <c r="AK7" s="14"/>
      <c r="AL7" s="156"/>
      <c r="AM7" s="14"/>
      <c r="AN7" s="156"/>
      <c r="AO7" s="14"/>
      <c r="AP7" s="132"/>
      <c r="AQ7" s="14"/>
      <c r="AR7" s="14"/>
      <c r="AS7" s="14"/>
      <c r="AT7" s="14"/>
      <c r="AU7" s="132"/>
      <c r="AV7" s="157"/>
      <c r="AW7" s="157"/>
      <c r="AX7" s="157"/>
      <c r="AY7" s="14"/>
    </row>
    <row r="8" spans="1:51" ht="15">
      <c r="A8" s="146" t="s">
        <v>217</v>
      </c>
      <c r="B8" s="147"/>
      <c r="C8" s="147"/>
      <c r="D8" s="147"/>
      <c r="E8" s="147"/>
      <c r="F8" s="147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32"/>
      <c r="AJ8" s="155"/>
      <c r="AK8" s="14"/>
      <c r="AL8" s="156"/>
      <c r="AM8" s="14"/>
      <c r="AN8" s="156"/>
      <c r="AO8" s="14"/>
      <c r="AP8" s="132"/>
      <c r="AQ8" s="14"/>
      <c r="AR8" s="14"/>
      <c r="AS8" s="14"/>
      <c r="AT8" s="14"/>
      <c r="AU8" s="132"/>
      <c r="AV8" s="157"/>
      <c r="AW8" s="157"/>
      <c r="AX8" s="157"/>
      <c r="AY8" s="14"/>
    </row>
    <row r="9" spans="1:51" ht="3" customHeight="1">
      <c r="A9" s="147"/>
      <c r="B9" s="147"/>
      <c r="C9" s="147"/>
      <c r="D9" s="147"/>
      <c r="E9" s="147"/>
      <c r="F9" s="147"/>
      <c r="M9" s="14"/>
      <c r="N9" s="165"/>
      <c r="O9" s="165"/>
      <c r="P9" s="165"/>
      <c r="Q9" s="165"/>
      <c r="R9" s="165"/>
      <c r="S9" s="165"/>
      <c r="T9" s="14"/>
      <c r="U9" s="165"/>
      <c r="V9" s="165"/>
      <c r="W9" s="165"/>
      <c r="X9" s="165"/>
      <c r="Y9" s="165"/>
      <c r="Z9" s="165"/>
      <c r="AA9" s="14"/>
      <c r="AB9" s="14"/>
      <c r="AC9" s="14"/>
      <c r="AD9" s="14"/>
      <c r="AE9" s="14"/>
      <c r="AF9" s="14"/>
      <c r="AG9" s="14"/>
      <c r="AH9" s="14"/>
      <c r="AI9" s="132"/>
      <c r="AJ9" s="155"/>
      <c r="AK9" s="14"/>
      <c r="AL9" s="156"/>
      <c r="AM9" s="14"/>
      <c r="AN9" s="156"/>
      <c r="AO9" s="14"/>
      <c r="AP9" s="132"/>
      <c r="AQ9" s="14"/>
      <c r="AR9" s="14"/>
      <c r="AS9" s="14"/>
      <c r="AT9" s="14"/>
      <c r="AU9" s="132"/>
      <c r="AV9" s="157"/>
      <c r="AW9" s="157"/>
      <c r="AX9" s="157"/>
      <c r="AY9" s="14"/>
    </row>
    <row r="10" spans="1:51">
      <c r="A10" s="184" t="s">
        <v>186</v>
      </c>
      <c r="B10" s="184"/>
      <c r="C10" s="264" t="s">
        <v>187</v>
      </c>
      <c r="D10" s="264"/>
      <c r="E10" s="264" t="s">
        <v>126</v>
      </c>
      <c r="F10" s="26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32"/>
      <c r="AJ10" s="155"/>
      <c r="AK10" s="14"/>
      <c r="AL10" s="156"/>
      <c r="AM10" s="14"/>
      <c r="AN10" s="156"/>
      <c r="AO10" s="14"/>
      <c r="AP10" s="132"/>
      <c r="AQ10" s="14"/>
      <c r="AR10" s="14"/>
      <c r="AS10" s="14"/>
      <c r="AT10" s="14"/>
      <c r="AU10" s="132"/>
      <c r="AV10" s="157"/>
      <c r="AW10" s="157"/>
      <c r="AX10" s="157"/>
      <c r="AY10" s="14"/>
    </row>
    <row r="11" spans="1:51" ht="15">
      <c r="A11" s="229" t="s">
        <v>239</v>
      </c>
      <c r="B11" s="230"/>
      <c r="C11" s="269"/>
      <c r="D11" s="269"/>
      <c r="E11" s="269"/>
      <c r="F11" s="269"/>
      <c r="M11" s="14"/>
      <c r="N11" s="17"/>
      <c r="O11" s="17"/>
      <c r="P11" s="17"/>
      <c r="Q11" s="17"/>
      <c r="R11" s="17"/>
      <c r="S11" s="17"/>
      <c r="T11" s="14"/>
      <c r="U11" s="17"/>
      <c r="V11" s="17"/>
      <c r="W11" s="17"/>
      <c r="X11" s="17"/>
      <c r="Y11" s="17"/>
      <c r="Z11" s="17"/>
      <c r="AA11" s="14"/>
      <c r="AB11" s="14"/>
      <c r="AC11" s="14"/>
      <c r="AD11" s="14"/>
      <c r="AE11" s="14"/>
      <c r="AF11" s="14"/>
      <c r="AG11" s="14"/>
      <c r="AH11" s="14"/>
      <c r="AI11" s="132"/>
      <c r="AJ11" s="155"/>
      <c r="AK11" s="14"/>
      <c r="AL11" s="156"/>
      <c r="AM11" s="14"/>
      <c r="AN11" s="156"/>
      <c r="AO11" s="14"/>
      <c r="AP11" s="132"/>
      <c r="AQ11" s="14"/>
      <c r="AR11" s="14"/>
      <c r="AS11" s="14"/>
      <c r="AT11" s="14"/>
      <c r="AU11" s="132"/>
      <c r="AV11" s="157"/>
      <c r="AW11" s="157"/>
      <c r="AX11" s="157"/>
      <c r="AY11" s="14"/>
    </row>
    <row r="12" spans="1:51">
      <c r="A12" s="184" t="s">
        <v>240</v>
      </c>
      <c r="B12" s="184"/>
      <c r="C12" s="269"/>
      <c r="D12" s="269"/>
      <c r="E12" s="269"/>
      <c r="F12" s="269"/>
      <c r="J12" s="154"/>
      <c r="K12" s="154"/>
      <c r="M12" s="14"/>
      <c r="N12" s="183"/>
      <c r="O12" s="183"/>
      <c r="P12" s="183"/>
      <c r="Q12" s="183"/>
      <c r="R12" s="183"/>
      <c r="S12" s="183"/>
      <c r="T12" s="14"/>
      <c r="U12" s="183"/>
      <c r="V12" s="183"/>
      <c r="W12" s="183"/>
      <c r="X12" s="183"/>
      <c r="Y12" s="183"/>
      <c r="Z12" s="183"/>
      <c r="AA12" s="14"/>
      <c r="AB12" s="14"/>
      <c r="AC12" s="14"/>
      <c r="AD12" s="14"/>
      <c r="AE12" s="14"/>
      <c r="AF12" s="14"/>
      <c r="AG12" s="14"/>
      <c r="AH12" s="14"/>
      <c r="AI12" s="132"/>
      <c r="AJ12" s="155"/>
      <c r="AK12" s="14"/>
      <c r="AL12" s="156"/>
      <c r="AM12" s="14"/>
      <c r="AN12" s="156"/>
      <c r="AO12" s="14"/>
      <c r="AP12" s="132"/>
      <c r="AQ12" s="14"/>
      <c r="AR12" s="14"/>
      <c r="AS12" s="14"/>
      <c r="AT12" s="14"/>
      <c r="AU12" s="132"/>
      <c r="AV12" s="157"/>
      <c r="AW12" s="157"/>
      <c r="AX12" s="157"/>
      <c r="AY12" s="14"/>
    </row>
    <row r="13" spans="1:51" ht="14.25" customHeight="1">
      <c r="A13" s="229" t="s">
        <v>241</v>
      </c>
      <c r="B13" s="230"/>
      <c r="C13" s="268"/>
      <c r="D13" s="268"/>
      <c r="E13" s="268"/>
      <c r="F13" s="268"/>
      <c r="J13" s="154"/>
      <c r="K13" s="15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32"/>
      <c r="AJ13" s="155"/>
      <c r="AK13" s="14"/>
      <c r="AL13" s="156"/>
      <c r="AM13" s="14"/>
      <c r="AN13" s="156"/>
      <c r="AO13" s="14"/>
      <c r="AP13" s="132"/>
      <c r="AQ13" s="14"/>
      <c r="AR13" s="14"/>
      <c r="AS13" s="14"/>
      <c r="AT13" s="14"/>
      <c r="AU13" s="132"/>
      <c r="AV13" s="157"/>
      <c r="AW13" s="157"/>
      <c r="AX13" s="157"/>
      <c r="AY13" s="14"/>
    </row>
    <row r="14" spans="1:51">
      <c r="A14" s="229" t="s">
        <v>242</v>
      </c>
      <c r="B14" s="230"/>
      <c r="C14" s="268"/>
      <c r="D14" s="268"/>
      <c r="E14" s="268"/>
      <c r="F14" s="268"/>
      <c r="K14" s="154"/>
      <c r="L14" s="154"/>
      <c r="M14" s="14"/>
      <c r="N14" s="113"/>
      <c r="O14" s="113"/>
      <c r="P14" s="113"/>
      <c r="Q14" s="113"/>
      <c r="R14" s="113"/>
      <c r="S14" s="113"/>
      <c r="T14" s="14"/>
      <c r="U14" s="113"/>
      <c r="V14" s="113"/>
      <c r="W14" s="113"/>
      <c r="X14" s="113"/>
      <c r="Y14" s="113"/>
      <c r="Z14" s="113"/>
      <c r="AA14" s="14"/>
      <c r="AB14" s="14"/>
      <c r="AC14" s="14"/>
      <c r="AD14" s="14"/>
      <c r="AE14" s="14"/>
      <c r="AF14" s="14"/>
      <c r="AG14" s="14"/>
      <c r="AH14" s="14"/>
      <c r="AI14" s="132"/>
      <c r="AJ14" s="155"/>
      <c r="AK14" s="14"/>
      <c r="AL14" s="156"/>
      <c r="AM14" s="14"/>
      <c r="AN14" s="156"/>
      <c r="AO14" s="14"/>
      <c r="AP14" s="132"/>
      <c r="AQ14" s="14"/>
      <c r="AR14" s="14"/>
      <c r="AS14" s="14"/>
      <c r="AT14" s="14"/>
      <c r="AU14" s="132"/>
      <c r="AV14" s="157"/>
      <c r="AW14" s="157"/>
      <c r="AX14" s="157"/>
      <c r="AY14" s="14"/>
    </row>
    <row r="15" spans="1:51" ht="15" customHeight="1">
      <c r="A15" s="270" t="s">
        <v>243</v>
      </c>
      <c r="B15" s="270"/>
      <c r="C15" s="268"/>
      <c r="D15" s="268"/>
      <c r="E15" s="268"/>
      <c r="F15" s="268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32"/>
      <c r="AJ15" s="155"/>
      <c r="AK15" s="14"/>
      <c r="AL15" s="156"/>
      <c r="AM15" s="14"/>
      <c r="AN15" s="156"/>
      <c r="AO15" s="14"/>
      <c r="AP15" s="132"/>
      <c r="AQ15" s="14"/>
      <c r="AR15" s="14"/>
      <c r="AS15" s="14"/>
      <c r="AT15" s="14"/>
      <c r="AU15" s="132"/>
      <c r="AV15" s="157"/>
      <c r="AW15" s="157"/>
      <c r="AX15" s="157"/>
      <c r="AY15" s="14"/>
    </row>
    <row r="16" spans="1:51">
      <c r="A16" s="231" t="s">
        <v>238</v>
      </c>
      <c r="B16" s="232"/>
      <c r="C16" s="268"/>
      <c r="D16" s="268"/>
      <c r="E16" s="268"/>
      <c r="F16" s="268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32"/>
      <c r="AJ16" s="155"/>
      <c r="AK16" s="14"/>
      <c r="AL16" s="156"/>
      <c r="AM16" s="14"/>
      <c r="AN16" s="156"/>
      <c r="AO16" s="14"/>
      <c r="AP16" s="132"/>
      <c r="AQ16" s="14"/>
      <c r="AR16" s="14"/>
      <c r="AS16" s="14"/>
      <c r="AT16" s="14"/>
      <c r="AU16" s="132"/>
      <c r="AV16" s="157"/>
      <c r="AW16" s="157"/>
      <c r="AX16" s="157"/>
      <c r="AY16" s="14"/>
    </row>
    <row r="17" spans="1:51" ht="15">
      <c r="A17" s="229" t="s">
        <v>192</v>
      </c>
      <c r="B17" s="230"/>
      <c r="C17" s="268"/>
      <c r="D17" s="268"/>
      <c r="E17" s="268"/>
      <c r="F17" s="268"/>
      <c r="J17" s="154"/>
      <c r="K17" s="154"/>
      <c r="M17" s="14"/>
      <c r="N17" s="17"/>
      <c r="O17" s="17"/>
      <c r="P17" s="17"/>
      <c r="Q17" s="17"/>
      <c r="R17" s="17"/>
      <c r="S17" s="17"/>
      <c r="T17" s="14"/>
      <c r="U17" s="17"/>
      <c r="V17" s="17"/>
      <c r="W17" s="17"/>
      <c r="X17" s="17"/>
      <c r="Y17" s="17"/>
      <c r="Z17" s="17"/>
      <c r="AA17" s="14"/>
      <c r="AB17" s="14"/>
      <c r="AC17" s="14"/>
      <c r="AD17" s="14"/>
      <c r="AE17" s="14"/>
      <c r="AF17" s="14"/>
      <c r="AG17" s="14"/>
      <c r="AH17" s="14"/>
      <c r="AI17" s="132"/>
      <c r="AJ17" s="155"/>
      <c r="AK17" s="14"/>
      <c r="AL17" s="156"/>
      <c r="AM17" s="14"/>
      <c r="AN17" s="156"/>
      <c r="AO17" s="14"/>
      <c r="AP17" s="132"/>
      <c r="AQ17" s="14"/>
      <c r="AR17" s="14"/>
      <c r="AS17" s="14"/>
      <c r="AT17" s="14"/>
      <c r="AU17" s="132"/>
      <c r="AV17" s="157"/>
      <c r="AW17" s="157"/>
      <c r="AX17" s="157"/>
      <c r="AY17" s="14"/>
    </row>
    <row r="18" spans="1:51" ht="14.25" customHeight="1">
      <c r="A18" s="184" t="s">
        <v>244</v>
      </c>
      <c r="B18" s="184"/>
      <c r="C18" s="268"/>
      <c r="D18" s="268"/>
      <c r="E18" s="268"/>
      <c r="F18" s="268"/>
      <c r="L18" s="154"/>
      <c r="M18" s="21"/>
      <c r="N18" s="119"/>
      <c r="O18" s="119"/>
      <c r="P18" s="119"/>
      <c r="Q18" s="119"/>
      <c r="R18" s="119"/>
      <c r="S18" s="119"/>
      <c r="T18" s="14"/>
      <c r="U18" s="119"/>
      <c r="V18" s="119"/>
      <c r="W18" s="119"/>
      <c r="X18" s="119"/>
      <c r="Y18" s="119"/>
      <c r="Z18" s="119"/>
      <c r="AA18" s="14"/>
      <c r="AB18" s="14"/>
      <c r="AC18" s="14"/>
      <c r="AD18" s="14"/>
      <c r="AE18" s="14"/>
      <c r="AF18" s="14"/>
      <c r="AG18" s="14"/>
      <c r="AH18" s="14"/>
      <c r="AI18" s="132"/>
      <c r="AJ18" s="155"/>
      <c r="AK18" s="14"/>
      <c r="AL18" s="156"/>
      <c r="AM18" s="14"/>
      <c r="AN18" s="156"/>
      <c r="AO18" s="14"/>
      <c r="AP18" s="132"/>
      <c r="AQ18" s="14"/>
      <c r="AR18" s="14"/>
      <c r="AS18" s="14"/>
      <c r="AT18" s="14"/>
      <c r="AU18" s="132"/>
      <c r="AV18" s="157"/>
      <c r="AW18" s="157"/>
      <c r="AX18" s="157"/>
      <c r="AY18" s="14"/>
    </row>
    <row r="19" spans="1:51" ht="15.75" customHeight="1">
      <c r="A19" s="270" t="s">
        <v>298</v>
      </c>
      <c r="B19" s="270"/>
      <c r="C19" s="271"/>
      <c r="D19" s="271"/>
      <c r="E19" s="271"/>
      <c r="F19" s="271"/>
      <c r="J19" s="154"/>
      <c r="K19" s="15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32"/>
      <c r="AQ19" s="14"/>
      <c r="AR19" s="14"/>
      <c r="AS19" s="14"/>
      <c r="AT19" s="14"/>
      <c r="AU19" s="132"/>
      <c r="AV19" s="157"/>
      <c r="AW19" s="157"/>
      <c r="AX19" s="157"/>
      <c r="AY19" s="14"/>
    </row>
    <row r="20" spans="1:51">
      <c r="A20" s="184" t="s">
        <v>228</v>
      </c>
      <c r="B20" s="184"/>
      <c r="C20" s="192"/>
      <c r="D20" s="163" t="str">
        <f>IF($M$117=1,"GJ",IF($M$117&lt;=3,"ton (Mg)",IF($M$117=4,"m3",IF($M$117&lt;=6,"mln m3","ton (Mg)"))))</f>
        <v>ton (Mg)</v>
      </c>
      <c r="E20" s="192"/>
      <c r="F20" s="163" t="str">
        <f>IF($O$117=1,"GJ",IF($O$117&lt;=3,"ton (Mg)",IF($O$117=4,"m3",IF($O$117&lt;=6,"mln m3","ton (Mg)"))))</f>
        <v>ton (Mg)</v>
      </c>
      <c r="G20" s="154"/>
      <c r="H20" s="15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32"/>
      <c r="AQ20" s="14"/>
      <c r="AR20" s="14"/>
      <c r="AS20" s="14"/>
      <c r="AT20" s="14"/>
      <c r="AU20" s="132"/>
      <c r="AV20" s="157"/>
      <c r="AW20" s="157"/>
      <c r="AX20" s="157"/>
      <c r="AY20" s="14"/>
    </row>
    <row r="21" spans="1:51" ht="3" customHeight="1">
      <c r="A21" s="147"/>
      <c r="B21" s="147"/>
      <c r="C21" s="147"/>
      <c r="D21" s="147"/>
      <c r="E21" s="147"/>
      <c r="F21" s="147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32"/>
      <c r="AQ21" s="14"/>
      <c r="AR21" s="14"/>
      <c r="AS21" s="14"/>
      <c r="AT21" s="14"/>
      <c r="AU21" s="132"/>
      <c r="AV21" s="157"/>
      <c r="AW21" s="157"/>
      <c r="AX21" s="157"/>
      <c r="AY21" s="14"/>
    </row>
    <row r="22" spans="1:51" ht="3" customHeight="1">
      <c r="A22" s="147"/>
      <c r="B22" s="147"/>
      <c r="C22" s="272"/>
      <c r="D22" s="272"/>
      <c r="E22" s="272"/>
      <c r="F22" s="272"/>
      <c r="M22" s="14"/>
      <c r="N22" s="165"/>
      <c r="O22" s="165"/>
      <c r="P22" s="165"/>
      <c r="Q22" s="165"/>
      <c r="R22" s="14"/>
      <c r="S22" s="14"/>
      <c r="T22" s="14"/>
      <c r="U22" s="165"/>
      <c r="V22" s="165"/>
      <c r="W22" s="165"/>
      <c r="X22" s="165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32"/>
      <c r="AQ22" s="14"/>
      <c r="AR22" s="14"/>
      <c r="AS22" s="14"/>
      <c r="AT22" s="14"/>
      <c r="AU22" s="132"/>
      <c r="AV22" s="157"/>
      <c r="AW22" s="157"/>
      <c r="AX22" s="157"/>
      <c r="AY22" s="14"/>
    </row>
    <row r="23" spans="1:51" ht="26.25" customHeight="1">
      <c r="A23" s="270" t="s">
        <v>305</v>
      </c>
      <c r="B23" s="270"/>
      <c r="C23" s="269"/>
      <c r="D23" s="269"/>
      <c r="E23" s="269"/>
      <c r="F23" s="269"/>
      <c r="M23" s="14"/>
      <c r="N23" s="165"/>
      <c r="O23" s="165"/>
      <c r="P23" s="165"/>
      <c r="Q23" s="165"/>
      <c r="R23" s="14"/>
      <c r="S23" s="14"/>
      <c r="T23" s="14"/>
      <c r="U23" s="165"/>
      <c r="V23" s="165"/>
      <c r="W23" s="165"/>
      <c r="X23" s="165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32"/>
      <c r="AQ23" s="14"/>
      <c r="AR23" s="14"/>
      <c r="AS23" s="14"/>
      <c r="AT23" s="14"/>
      <c r="AU23" s="132"/>
      <c r="AV23" s="157"/>
      <c r="AW23" s="157"/>
      <c r="AX23" s="157"/>
      <c r="AY23" s="14"/>
    </row>
    <row r="24" spans="1:51" ht="16.5" customHeight="1">
      <c r="A24" s="270" t="s">
        <v>306</v>
      </c>
      <c r="B24" s="270"/>
      <c r="C24" s="269"/>
      <c r="D24" s="269"/>
      <c r="E24" s="269"/>
      <c r="F24" s="269"/>
      <c r="M24" s="14"/>
      <c r="N24" s="14"/>
      <c r="O24" s="14"/>
      <c r="P24" s="14"/>
      <c r="Q24" s="14"/>
      <c r="R24" s="114"/>
      <c r="S24" s="14"/>
      <c r="T24" s="14"/>
      <c r="U24" s="14"/>
      <c r="V24" s="14"/>
      <c r="W24" s="14"/>
      <c r="X24" s="14"/>
      <c r="Y24" s="1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32"/>
      <c r="AQ24" s="14"/>
      <c r="AR24" s="14"/>
      <c r="AS24" s="14"/>
      <c r="AT24" s="14"/>
      <c r="AU24" s="132"/>
      <c r="AV24" s="157"/>
      <c r="AW24" s="157"/>
      <c r="AX24" s="157"/>
      <c r="AY24" s="14"/>
    </row>
    <row r="25" spans="1:51" ht="15" customHeight="1">
      <c r="A25" s="270" t="s">
        <v>203</v>
      </c>
      <c r="B25" s="270"/>
      <c r="C25" s="269"/>
      <c r="D25" s="269"/>
      <c r="E25" s="269"/>
      <c r="F25" s="269"/>
      <c r="M25" s="14"/>
      <c r="N25" s="14"/>
      <c r="O25" s="14"/>
      <c r="P25" s="14"/>
      <c r="Q25" s="14"/>
      <c r="R25" s="114"/>
      <c r="S25" s="14"/>
      <c r="T25" s="14"/>
      <c r="U25" s="14"/>
      <c r="V25" s="14"/>
      <c r="W25" s="14"/>
      <c r="X25" s="14"/>
      <c r="Y25" s="1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32"/>
      <c r="AQ25" s="14"/>
      <c r="AR25" s="14"/>
      <c r="AS25" s="14"/>
      <c r="AT25" s="14"/>
      <c r="AU25" s="132"/>
      <c r="AV25" s="157"/>
      <c r="AW25" s="157"/>
      <c r="AX25" s="157"/>
      <c r="AY25" s="14"/>
    </row>
    <row r="26" spans="1:51" ht="3" customHeight="1">
      <c r="A26" s="147"/>
      <c r="B26" s="147"/>
      <c r="C26" s="147"/>
      <c r="D26" s="147"/>
      <c r="E26" s="147"/>
      <c r="F26" s="147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32"/>
      <c r="AQ26" s="14"/>
      <c r="AR26" s="14"/>
      <c r="AS26" s="14"/>
      <c r="AT26" s="14"/>
      <c r="AU26" s="132"/>
      <c r="AV26" s="157"/>
      <c r="AW26" s="157"/>
      <c r="AX26" s="157"/>
      <c r="AY26" s="14"/>
    </row>
    <row r="27" spans="1:51" ht="15.75" customHeight="1">
      <c r="A27" s="146" t="s">
        <v>316</v>
      </c>
      <c r="M27" s="14"/>
      <c r="N27" s="14"/>
      <c r="O27" s="14"/>
      <c r="P27" s="14"/>
      <c r="Q27" s="14"/>
      <c r="R27" s="114"/>
      <c r="S27" s="14"/>
      <c r="T27" s="14"/>
      <c r="U27" s="14"/>
      <c r="V27" s="14"/>
      <c r="W27" s="14"/>
      <c r="X27" s="14"/>
      <c r="Y27" s="1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32"/>
      <c r="AQ27" s="14"/>
      <c r="AR27" s="14"/>
      <c r="AS27" s="14"/>
      <c r="AT27" s="14"/>
      <c r="AU27" s="132"/>
      <c r="AV27" s="157"/>
      <c r="AW27" s="157"/>
      <c r="AX27" s="157"/>
      <c r="AY27" s="14"/>
    </row>
    <row r="28" spans="1:51" ht="3" customHeight="1"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32"/>
      <c r="AQ28" s="14"/>
      <c r="AR28" s="14"/>
      <c r="AS28" s="14"/>
      <c r="AT28" s="14"/>
      <c r="AU28" s="132"/>
      <c r="AV28" s="157"/>
      <c r="AW28" s="157"/>
      <c r="AX28" s="157"/>
      <c r="AY28" s="14"/>
    </row>
    <row r="29" spans="1:51">
      <c r="A29" s="273" t="s">
        <v>123</v>
      </c>
      <c r="B29" s="273"/>
      <c r="C29" s="264" t="s">
        <v>124</v>
      </c>
      <c r="D29" s="264"/>
      <c r="E29" s="264" t="s">
        <v>125</v>
      </c>
      <c r="F29" s="26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32"/>
      <c r="AQ29" s="14"/>
      <c r="AR29" s="14"/>
      <c r="AS29" s="14"/>
      <c r="AT29" s="14"/>
      <c r="AU29" s="132"/>
      <c r="AV29" s="157"/>
      <c r="AW29" s="157"/>
      <c r="AX29" s="157"/>
      <c r="AY29" s="14"/>
    </row>
    <row r="30" spans="1:51" ht="15">
      <c r="A30" s="273"/>
      <c r="B30" s="273"/>
      <c r="C30" s="169" t="s">
        <v>132</v>
      </c>
      <c r="D30" s="169" t="s">
        <v>126</v>
      </c>
      <c r="E30" s="169" t="s">
        <v>127</v>
      </c>
      <c r="F30" s="169" t="s">
        <v>128</v>
      </c>
      <c r="M30" s="14"/>
      <c r="N30" s="14"/>
      <c r="O30" s="14"/>
      <c r="P30" s="14"/>
      <c r="Q30" s="120"/>
      <c r="R30" s="120"/>
      <c r="S30" s="17"/>
      <c r="T30" s="14"/>
      <c r="U30" s="14"/>
      <c r="V30" s="14"/>
      <c r="W30" s="14"/>
      <c r="X30" s="120"/>
      <c r="Z30" s="17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32"/>
      <c r="AQ30" s="14"/>
      <c r="AR30" s="14"/>
      <c r="AS30" s="14"/>
      <c r="AT30" s="14"/>
      <c r="AU30" s="132"/>
      <c r="AV30" s="157"/>
      <c r="AW30" s="157"/>
      <c r="AX30" s="157"/>
      <c r="AY30" s="14"/>
    </row>
    <row r="31" spans="1:51" ht="15">
      <c r="A31" s="280">
        <v>1</v>
      </c>
      <c r="B31" s="280"/>
      <c r="C31" s="169">
        <v>2</v>
      </c>
      <c r="D31" s="169">
        <v>3</v>
      </c>
      <c r="E31" s="169">
        <v>4</v>
      </c>
      <c r="F31" s="169">
        <v>5</v>
      </c>
      <c r="M31" s="14"/>
      <c r="N31" s="14"/>
      <c r="O31" s="14"/>
      <c r="P31" s="14"/>
      <c r="Q31" s="14"/>
      <c r="R31" s="115"/>
      <c r="S31" s="17"/>
      <c r="T31" s="14"/>
      <c r="U31" s="14"/>
      <c r="V31" s="14"/>
      <c r="W31" s="14"/>
      <c r="X31" s="14"/>
      <c r="Y31" s="17"/>
      <c r="Z31" s="17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32"/>
      <c r="AQ31" s="14"/>
      <c r="AR31" s="14"/>
      <c r="AS31" s="14"/>
      <c r="AT31" s="14"/>
      <c r="AU31" s="132"/>
      <c r="AV31" s="157"/>
      <c r="AW31" s="157"/>
      <c r="AX31" s="157"/>
      <c r="AY31" s="14"/>
    </row>
    <row r="32" spans="1:51" ht="15" customHeight="1">
      <c r="A32" s="281" t="s">
        <v>206</v>
      </c>
      <c r="B32" s="281"/>
      <c r="C32" s="127">
        <f>IF($M$134&lt;301001,$C$20*$C$23*$M$153*(100-$D$147)/100,IF($M$134&lt;=301003,"Nie oblicza się",IF($M$134&lt;701001,$C$20*$C$23*$M$153*(100-$D$147)/100,$C$20*$M$153*(100-$D$147)/100)))</f>
        <v>0</v>
      </c>
      <c r="D32" s="127">
        <f>IF($O$134&lt;301001,$E$20*$E$23*$O$153*(100-$I$147)/100,IF($O$134&lt;=301003,"Nie oblicza się",IF($O$134&lt;701001,$E$20*$E$23*$O$153*(100-$I$147)/100,$E$20*$O$153*(100-$I$147)/100)))</f>
        <v>0</v>
      </c>
      <c r="E32" s="127">
        <f>IF(C32-D32&gt;0,C32-D32,0)</f>
        <v>0</v>
      </c>
      <c r="F32" s="135">
        <f>IF(C32=0,0,(E32/C32)*100)</f>
        <v>0</v>
      </c>
      <c r="M32" s="14"/>
      <c r="N32" s="116"/>
      <c r="O32" s="14"/>
      <c r="P32" s="14"/>
      <c r="Q32" s="14"/>
      <c r="R32" s="14"/>
      <c r="S32" s="14"/>
      <c r="T32" s="14"/>
      <c r="U32" s="116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32"/>
      <c r="AQ32" s="14"/>
      <c r="AR32" s="14"/>
      <c r="AS32" s="14"/>
      <c r="AT32" s="14"/>
      <c r="AU32" s="132"/>
      <c r="AV32" s="157"/>
      <c r="AW32" s="157"/>
      <c r="AX32" s="157"/>
      <c r="AY32" s="14"/>
    </row>
    <row r="33" spans="1:51" ht="15">
      <c r="A33" s="281" t="s">
        <v>207</v>
      </c>
      <c r="B33" s="281"/>
      <c r="C33" s="127">
        <f>IF($M$134&lt;301001,$C$20*$M$154*(100-$D$148)/100,IF($M$134&lt;=301003,"Nie oblicza się",$C$20*$M$154*(100-$D$148)/100))</f>
        <v>0</v>
      </c>
      <c r="D33" s="127">
        <f>IF($O$134&lt;301001,$E$20*$O$154*(100-$I$148)/100,IF($O$134&lt;=301003,"Nie oblicza się",$E$20*$O$154*(100-$I$148)/100))</f>
        <v>0</v>
      </c>
      <c r="E33" s="127">
        <f t="shared" ref="E33:E35" si="0">IF(C33-D33&gt;0,C33-D33,0)</f>
        <v>0</v>
      </c>
      <c r="F33" s="135">
        <f t="shared" ref="F33:F35" si="1">IF(C33=0,0,(E33/C33)*100)</f>
        <v>0</v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32"/>
      <c r="AV33" s="157"/>
      <c r="AW33" s="157"/>
      <c r="AX33" s="157"/>
      <c r="AY33" s="14"/>
    </row>
    <row r="34" spans="1:51" ht="14.25" customHeight="1">
      <c r="A34" s="281" t="s">
        <v>43</v>
      </c>
      <c r="B34" s="281"/>
      <c r="C34" s="127">
        <f>IF($M$134&lt;301001,$C$20*$M$156*(100-$D$149)/100,IF($M$134&lt;=301003,"Nie oblicza się",$C$20*$M$156*(100-$D$149)/100))</f>
        <v>0</v>
      </c>
      <c r="D34" s="127">
        <f>IF($O$134&lt;301001,$E$20*$O$156*(100-$I$149)/100,IF($O$134&lt;=301003,"Nie oblicza się",$E$20*$O$156*(100-$I$149)/100))</f>
        <v>0</v>
      </c>
      <c r="E34" s="127">
        <f t="shared" si="0"/>
        <v>0</v>
      </c>
      <c r="F34" s="135">
        <f t="shared" si="1"/>
        <v>0</v>
      </c>
      <c r="J34" s="111"/>
      <c r="M34" s="14"/>
      <c r="N34" s="14"/>
      <c r="O34" s="121"/>
      <c r="P34" s="124"/>
      <c r="Q34" s="124"/>
      <c r="R34" s="117"/>
      <c r="S34" s="14"/>
      <c r="T34" s="14"/>
      <c r="U34" s="14"/>
      <c r="V34" s="121"/>
      <c r="W34" s="124"/>
      <c r="X34" s="124"/>
      <c r="Y34" s="117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32"/>
      <c r="AV34" s="157"/>
      <c r="AW34" s="157"/>
      <c r="AX34" s="157"/>
      <c r="AY34" s="14"/>
    </row>
    <row r="35" spans="1:51" ht="15">
      <c r="A35" s="281" t="s">
        <v>44</v>
      </c>
      <c r="B35" s="281"/>
      <c r="C35" s="127">
        <f>IF($M$134&lt;301001,$C$20*$M$157*$C$24*(100-$C$19)/(100-$C$25),IF($M$134&lt;=301003,"Nie oblicza się",IF($M$134&lt;=302221,$C$20*$M$157*$C$24*(100-$C$19)/(100-$C$25),IF($M$134&lt;=701001,$C$20*$M$157*(100-$C$19)/(100-$C$25),$C$20*$M$157*$C$24*(100-$C$19)/(100-$C$25)))))</f>
        <v>0</v>
      </c>
      <c r="D35" s="127">
        <f>IF($O$134&lt;301001,$E$20*$O$157*$E$24*(100-$E$19)/(100-$E$25),IF($O$134&lt;=301003,"Nie oblicza się",IF($O$134&lt;=302221,$E$20*$O$157*$E$24*(100-$E$19)/(100-$E$25),IF($O$134&lt;=701001,$E$20*$O$157*(100-$E$19)/(100-$E$25),$E$20*$O$157*$E$24*(100-$E$19)/(100-$E$25)))))</f>
        <v>0</v>
      </c>
      <c r="E35" s="127">
        <f t="shared" si="0"/>
        <v>0</v>
      </c>
      <c r="F35" s="135">
        <f t="shared" si="1"/>
        <v>0</v>
      </c>
      <c r="M35" s="14"/>
      <c r="N35" s="122"/>
      <c r="O35" s="63"/>
      <c r="P35" s="63"/>
      <c r="Q35" s="63"/>
      <c r="R35" s="63"/>
      <c r="S35" s="63"/>
      <c r="T35" s="14"/>
      <c r="U35" s="122"/>
      <c r="V35" s="63"/>
      <c r="W35" s="63"/>
      <c r="X35" s="63"/>
      <c r="Y35" s="63"/>
      <c r="Z35" s="63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32"/>
      <c r="AV35" s="157"/>
      <c r="AW35" s="157"/>
      <c r="AX35" s="157"/>
      <c r="AY35" s="14"/>
    </row>
    <row r="36" spans="1:51" ht="3.75" customHeight="1">
      <c r="M36" s="14"/>
      <c r="N36" s="14"/>
      <c r="O36" s="116"/>
      <c r="P36" s="116"/>
      <c r="Q36" s="116"/>
      <c r="R36" s="116"/>
      <c r="S36" s="116"/>
      <c r="T36" s="123"/>
      <c r="U36" s="123"/>
      <c r="V36" s="121"/>
      <c r="Y36" s="117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32"/>
      <c r="AV36" s="157"/>
      <c r="AW36" s="157"/>
      <c r="AX36" s="157"/>
      <c r="AY36" s="14"/>
    </row>
    <row r="37" spans="1:51" ht="16.5" customHeight="1">
      <c r="A37" s="146" t="s">
        <v>232</v>
      </c>
      <c r="M37" s="14"/>
      <c r="N37" s="14"/>
      <c r="O37" s="14"/>
      <c r="P37" s="117"/>
      <c r="Q37" s="117"/>
      <c r="R37" s="117"/>
      <c r="S37" s="117"/>
      <c r="T37" s="14"/>
      <c r="U37" s="14"/>
      <c r="V37" s="14"/>
      <c r="W37" s="121"/>
      <c r="X37" s="124"/>
      <c r="Y37" s="117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32"/>
      <c r="AV37" s="157"/>
      <c r="AW37" s="157"/>
      <c r="AX37" s="157"/>
      <c r="AY37" s="14"/>
    </row>
    <row r="38" spans="1:51" ht="3" customHeight="1"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32"/>
      <c r="AV38" s="157"/>
      <c r="AW38" s="157"/>
      <c r="AX38" s="157"/>
      <c r="AY38" s="14"/>
    </row>
    <row r="39" spans="1:51">
      <c r="A39" s="264" t="s">
        <v>186</v>
      </c>
      <c r="B39" s="264"/>
      <c r="C39" s="264" t="s">
        <v>187</v>
      </c>
      <c r="D39" s="264"/>
      <c r="E39" s="264" t="s">
        <v>126</v>
      </c>
      <c r="F39" s="264"/>
      <c r="M39" s="14"/>
      <c r="N39" s="125"/>
      <c r="O39" s="185"/>
      <c r="P39" s="185"/>
      <c r="Q39" s="185"/>
      <c r="R39" s="185"/>
      <c r="S39" s="185"/>
      <c r="U39" s="125"/>
      <c r="V39" s="185"/>
      <c r="W39" s="185"/>
      <c r="X39" s="185"/>
      <c r="Y39" s="185"/>
      <c r="Z39" s="185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32"/>
      <c r="AV39" s="157"/>
      <c r="AW39" s="157"/>
      <c r="AX39" s="157"/>
      <c r="AY39" s="14"/>
    </row>
    <row r="40" spans="1:51" ht="45" customHeight="1">
      <c r="A40" s="274" t="s">
        <v>200</v>
      </c>
      <c r="B40" s="275"/>
      <c r="C40" s="282"/>
      <c r="D40" s="283"/>
      <c r="E40" s="282"/>
      <c r="F40" s="282"/>
      <c r="M40" s="14"/>
      <c r="N40" s="185"/>
      <c r="O40" s="185"/>
      <c r="P40" s="185"/>
      <c r="Q40" s="185"/>
      <c r="R40" s="185"/>
      <c r="S40" s="185"/>
      <c r="U40" s="185"/>
      <c r="V40" s="185"/>
      <c r="W40" s="185"/>
      <c r="X40" s="185"/>
      <c r="Y40" s="185"/>
      <c r="Z40" s="185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32"/>
      <c r="AV40" s="157"/>
      <c r="AW40" s="157"/>
      <c r="AX40" s="157"/>
      <c r="AY40" s="14"/>
    </row>
    <row r="41" spans="1:51" ht="23.25" customHeight="1">
      <c r="A41" s="274" t="s">
        <v>241</v>
      </c>
      <c r="B41" s="275"/>
      <c r="C41" s="276"/>
      <c r="D41" s="277"/>
      <c r="E41" s="278"/>
      <c r="F41" s="279"/>
      <c r="M41" s="14"/>
      <c r="N41" s="185"/>
      <c r="O41" s="185"/>
      <c r="P41" s="185"/>
      <c r="Q41" s="185"/>
      <c r="R41" s="185"/>
      <c r="S41" s="185"/>
      <c r="U41" s="185"/>
      <c r="V41" s="185"/>
      <c r="W41" s="185"/>
      <c r="X41" s="185"/>
      <c r="Y41" s="185"/>
      <c r="Z41" s="185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32"/>
      <c r="AV41" s="157"/>
      <c r="AW41" s="157"/>
      <c r="AX41" s="157"/>
      <c r="AY41" s="14"/>
    </row>
    <row r="42" spans="1:51">
      <c r="A42" s="184" t="s">
        <v>318</v>
      </c>
      <c r="B42" s="184"/>
      <c r="C42" s="133" t="e">
        <f>IF(D42=U203,VLOOKUP(H225,KOBIZE!T7:X57,3),IF(D42=V203,VLOOKUP(H225,KOBIZE!T7:X57,4),"N/d"))</f>
        <v>#N/A</v>
      </c>
      <c r="D42" s="153" t="str">
        <f>IF(C41=O211,V203,IF(C41=O212,V203,IF(C41=O213,V203,IF(C41=O233,V203,IF(C41=O234,V203,IF(C41=H204,"N/d",U203))))))</f>
        <v>MJ/kg</v>
      </c>
      <c r="E42" s="172" t="e">
        <f>IF(F42=U203,VLOOKUP(J225,KOBIZE!T7:X57,3),IF(F42=V203,VLOOKUP(J225,KOBIZE!T7:X57,4),"N/d"))</f>
        <v>#N/A</v>
      </c>
      <c r="F42" s="171" t="str">
        <f>IF(E41=O211,V203,IF(E41=O212,V203,IF(E41=O213,V203,IF(E41=O233,V203,IF(E41=O234,V203,IF(E41=H204,"N/d",U203))))))</f>
        <v>MJ/kg</v>
      </c>
      <c r="M42" s="14"/>
      <c r="N42" s="185"/>
      <c r="O42" s="185"/>
      <c r="P42" s="185"/>
      <c r="Q42" s="185"/>
      <c r="R42" s="185"/>
      <c r="S42" s="185"/>
      <c r="U42" s="185"/>
      <c r="V42" s="185"/>
      <c r="W42" s="185"/>
      <c r="X42" s="185"/>
      <c r="Y42" s="185"/>
      <c r="Z42" s="185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32"/>
      <c r="AV42" s="157"/>
      <c r="AW42" s="157"/>
      <c r="AX42" s="157"/>
      <c r="AY42" s="14"/>
    </row>
    <row r="43" spans="1:51">
      <c r="A43" s="184" t="s">
        <v>195</v>
      </c>
      <c r="B43" s="184"/>
      <c r="C43" s="167">
        <f>IF(C41=H204,"N/d",IF(D20="mln m3",C20*10^6,IF(D20="m3",C20*E205,IF(D20="ton (Mg)",C20*1000))))</f>
        <v>0</v>
      </c>
      <c r="D43" s="170" t="str">
        <f>IF(D42=U203,"kg/rok",IF(D42=V203,"m3/rok","N/d"))</f>
        <v>kg/rok</v>
      </c>
      <c r="E43" s="167">
        <f>IF(E41=I204,"N/d",IF(F20="mln m3",E20*10^6,IF(F20="m3",E20*E205,IF(F20="ton (Mg)",E20*1000))))</f>
        <v>0</v>
      </c>
      <c r="F43" s="171" t="str">
        <f>IF(F42=U203,"kg/rok",IF(F42=V203,"m3/rok","N/d"))</f>
        <v>kg/rok</v>
      </c>
      <c r="M43" s="14"/>
      <c r="N43" s="185"/>
      <c r="O43" s="185"/>
      <c r="P43" s="185"/>
      <c r="Q43" s="185"/>
      <c r="R43" s="185"/>
      <c r="S43" s="185"/>
      <c r="T43" s="14"/>
      <c r="U43" s="185"/>
      <c r="V43" s="185"/>
      <c r="W43" s="185"/>
      <c r="X43" s="185"/>
      <c r="Y43" s="185"/>
      <c r="Z43" s="185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32"/>
      <c r="AV43" s="157"/>
      <c r="AW43" s="157"/>
      <c r="AX43" s="157"/>
      <c r="AY43" s="14"/>
    </row>
    <row r="44" spans="1:51" ht="16.5" customHeight="1">
      <c r="A44" s="284" t="s">
        <v>246</v>
      </c>
      <c r="B44" s="285"/>
      <c r="C44" s="286" t="e">
        <f>IF(C42&lt;&gt;"N/d",((C42*C43)/1000),"N/d")</f>
        <v>#N/A</v>
      </c>
      <c r="D44" s="287"/>
      <c r="E44" s="288" t="e">
        <f>IF(E42&lt;&gt;"N/d",((E42*E43)/1000),"N/d")</f>
        <v>#N/A</v>
      </c>
      <c r="F44" s="289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32"/>
      <c r="AV44" s="157"/>
      <c r="AW44" s="157"/>
      <c r="AX44" s="157"/>
      <c r="AY44" s="14"/>
    </row>
    <row r="45" spans="1:51" ht="17.25" customHeight="1">
      <c r="A45" s="290" t="s">
        <v>247</v>
      </c>
      <c r="B45" s="291"/>
      <c r="C45" s="292" t="e">
        <f>IF(C42&lt;&gt;"N/d",VLOOKUP(H225,KOBIZE!T7:X57,5),"N/d")</f>
        <v>#N/A</v>
      </c>
      <c r="D45" s="264"/>
      <c r="E45" s="292" t="e">
        <f>IF(E42&lt;&gt;"N/d",VLOOKUP(J225,KOBIZE!T7:X57,5),"N/d")</f>
        <v>#N/A</v>
      </c>
      <c r="F45" s="26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32"/>
      <c r="AV45" s="157"/>
      <c r="AW45" s="157"/>
      <c r="AX45" s="157"/>
      <c r="AY45" s="14"/>
    </row>
    <row r="46" spans="1:51" ht="3.75" customHeight="1"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32"/>
      <c r="AV46" s="157"/>
      <c r="AW46" s="157"/>
      <c r="AX46" s="157"/>
      <c r="AY46" s="14"/>
    </row>
    <row r="47" spans="1:51">
      <c r="A47" s="273" t="s">
        <v>123</v>
      </c>
      <c r="B47" s="273"/>
      <c r="C47" s="264" t="s">
        <v>124</v>
      </c>
      <c r="D47" s="264"/>
      <c r="E47" s="264" t="s">
        <v>125</v>
      </c>
      <c r="F47" s="26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2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32"/>
      <c r="AV47" s="157"/>
      <c r="AW47" s="157"/>
      <c r="AX47" s="157"/>
      <c r="AY47" s="14"/>
    </row>
    <row r="48" spans="1:51">
      <c r="A48" s="273"/>
      <c r="B48" s="273"/>
      <c r="C48" s="169" t="s">
        <v>132</v>
      </c>
      <c r="D48" s="169" t="s">
        <v>126</v>
      </c>
      <c r="E48" s="169" t="s">
        <v>127</v>
      </c>
      <c r="F48" s="169" t="s">
        <v>128</v>
      </c>
      <c r="K48" s="145"/>
      <c r="M48" s="142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2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32"/>
      <c r="AV48" s="157"/>
      <c r="AW48" s="157"/>
      <c r="AX48" s="157"/>
      <c r="AY48" s="14"/>
    </row>
    <row r="49" spans="1:51">
      <c r="A49" s="294">
        <v>1</v>
      </c>
      <c r="B49" s="295"/>
      <c r="C49" s="169">
        <v>2</v>
      </c>
      <c r="D49" s="169">
        <v>3</v>
      </c>
      <c r="E49" s="169">
        <v>4</v>
      </c>
      <c r="F49" s="169">
        <v>5</v>
      </c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32"/>
      <c r="AV49" s="157"/>
      <c r="AW49" s="157"/>
      <c r="AX49" s="157"/>
      <c r="AY49" s="14"/>
    </row>
    <row r="50" spans="1:51" ht="14.25" customHeight="1">
      <c r="A50" s="274" t="s">
        <v>286</v>
      </c>
      <c r="B50" s="275"/>
      <c r="C50" s="173" t="e">
        <f>IF(C44&lt;&gt;"N/d",C44*C45,"N/d")</f>
        <v>#N/A</v>
      </c>
      <c r="D50" s="173" t="e">
        <f>IF(E44&lt;&gt;"N/d",E44*E45,"0")</f>
        <v>#N/A</v>
      </c>
      <c r="E50" s="176" t="e">
        <f>IF(C50&lt;&gt;"N/d",C50-D50,"N/d")</f>
        <v>#N/A</v>
      </c>
      <c r="F50" s="168" t="e">
        <f>IF(C50&lt;&gt;"N/d",(E50/C50)*100,"N/d")</f>
        <v>#N/A</v>
      </c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</row>
    <row r="51" spans="1:51"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</row>
    <row r="52" spans="1:51"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</row>
    <row r="53" spans="1:51"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</row>
    <row r="54" spans="1:51" ht="8.25" customHeight="1"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</row>
    <row r="55" spans="1:51" ht="13.5" customHeight="1">
      <c r="D55" s="148"/>
      <c r="E55" s="148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</row>
    <row r="56" spans="1:51" ht="15">
      <c r="A56" s="147"/>
      <c r="B56" s="186">
        <f ca="1">TODAY()</f>
        <v>44804</v>
      </c>
      <c r="C56" s="147"/>
      <c r="D56" s="149" t="s">
        <v>209</v>
      </c>
      <c r="E56" s="150"/>
      <c r="F56" s="150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</row>
    <row r="57" spans="1:51" ht="15">
      <c r="B57" s="174" t="s">
        <v>223</v>
      </c>
      <c r="D57" s="151" t="s">
        <v>210</v>
      </c>
      <c r="E57" s="150"/>
      <c r="F57" s="150"/>
      <c r="I57" s="111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</row>
    <row r="58" spans="1:51" ht="15">
      <c r="A58" s="152" t="s">
        <v>248</v>
      </c>
      <c r="B58" s="128"/>
      <c r="C58" s="128"/>
      <c r="D58" s="128"/>
      <c r="E58" s="128"/>
      <c r="F58" s="128"/>
      <c r="M58" s="112"/>
    </row>
    <row r="59" spans="1:51" ht="27" customHeight="1">
      <c r="A59" s="293" t="s">
        <v>329</v>
      </c>
      <c r="B59" s="293"/>
      <c r="C59" s="293"/>
      <c r="D59" s="293"/>
      <c r="E59" s="293"/>
      <c r="F59" s="293"/>
    </row>
    <row r="60" spans="1:51" ht="27.75" customHeight="1">
      <c r="A60" s="293" t="s">
        <v>317</v>
      </c>
      <c r="B60" s="293"/>
      <c r="C60" s="293"/>
      <c r="D60" s="293"/>
      <c r="E60" s="293"/>
      <c r="F60" s="293"/>
    </row>
    <row r="64" spans="1:51" ht="15">
      <c r="I64" s="111"/>
    </row>
    <row r="67" spans="1:6" ht="15">
      <c r="A67" s="150"/>
    </row>
    <row r="68" spans="1:6" ht="15">
      <c r="A68" s="150"/>
      <c r="B68" s="147"/>
      <c r="C68" s="147"/>
      <c r="D68" s="147"/>
      <c r="E68" s="147"/>
      <c r="F68" s="147"/>
    </row>
    <row r="69" spans="1:6" ht="15">
      <c r="A69" s="150"/>
      <c r="B69" s="147"/>
      <c r="D69" s="147"/>
      <c r="E69" s="147"/>
      <c r="F69" s="147"/>
    </row>
    <row r="70" spans="1:6" ht="15">
      <c r="A70" s="150"/>
      <c r="B70" s="147"/>
      <c r="C70" s="147"/>
      <c r="D70" s="147"/>
      <c r="E70" s="147"/>
      <c r="F70" s="147"/>
    </row>
    <row r="71" spans="1:6" ht="15">
      <c r="A71" s="150"/>
      <c r="B71" s="147"/>
      <c r="C71" s="147"/>
      <c r="D71" s="147"/>
      <c r="E71" s="147"/>
      <c r="F71" s="147"/>
    </row>
    <row r="72" spans="1:6" ht="15">
      <c r="A72" s="150"/>
      <c r="F72" s="147"/>
    </row>
    <row r="73" spans="1:6" ht="15">
      <c r="A73" s="150"/>
      <c r="B73" s="147"/>
      <c r="C73" s="147"/>
      <c r="D73" s="147"/>
      <c r="E73" s="147"/>
      <c r="F73" s="147"/>
    </row>
    <row r="74" spans="1:6" ht="15">
      <c r="A74" s="150"/>
      <c r="B74" s="147"/>
      <c r="C74" s="147"/>
      <c r="D74" s="147"/>
      <c r="E74" s="147"/>
      <c r="F74" s="147"/>
    </row>
    <row r="75" spans="1:6" ht="15">
      <c r="A75" s="150"/>
      <c r="B75" s="147"/>
      <c r="C75" s="147"/>
      <c r="D75" s="147"/>
      <c r="E75" s="147"/>
      <c r="F75" s="147"/>
    </row>
    <row r="76" spans="1:6" ht="15">
      <c r="A76" s="150"/>
      <c r="B76" s="147"/>
      <c r="C76" s="147"/>
      <c r="D76" s="147"/>
      <c r="E76" s="147"/>
      <c r="F76" s="147"/>
    </row>
    <row r="77" spans="1:6" ht="15">
      <c r="A77" s="150"/>
      <c r="B77" s="147"/>
      <c r="C77" s="147"/>
      <c r="D77" s="147"/>
      <c r="E77" s="147"/>
      <c r="F77" s="147"/>
    </row>
    <row r="78" spans="1:6" ht="15">
      <c r="A78" s="150"/>
      <c r="B78" s="147"/>
      <c r="C78" s="147"/>
      <c r="D78" s="147"/>
      <c r="E78" s="147"/>
      <c r="F78" s="147"/>
    </row>
    <row r="79" spans="1:6" ht="15">
      <c r="A79" s="150"/>
      <c r="B79" s="147"/>
      <c r="C79" s="147"/>
      <c r="D79" s="147"/>
      <c r="E79" s="147"/>
      <c r="F79" s="147"/>
    </row>
    <row r="80" spans="1:6" ht="15">
      <c r="A80" s="150"/>
      <c r="B80" s="147"/>
      <c r="C80" s="147"/>
      <c r="D80" s="147"/>
      <c r="E80" s="147"/>
      <c r="F80" s="147"/>
    </row>
    <row r="81" spans="1:6" ht="15">
      <c r="A81" s="150"/>
      <c r="B81" s="147"/>
      <c r="C81" s="147"/>
      <c r="D81" s="147"/>
      <c r="E81" s="147"/>
      <c r="F81" s="147"/>
    </row>
    <row r="82" spans="1:6">
      <c r="A82" s="147"/>
      <c r="B82" s="147"/>
      <c r="C82" s="147"/>
      <c r="D82" s="147"/>
      <c r="E82" s="147"/>
      <c r="F82" s="147"/>
    </row>
    <row r="86" spans="1:6" ht="15">
      <c r="D86" s="150"/>
      <c r="E86" s="150"/>
      <c r="F86" s="150"/>
    </row>
    <row r="87" spans="1:6" ht="15">
      <c r="A87" s="261"/>
      <c r="B87" s="261"/>
      <c r="C87" s="187"/>
    </row>
    <row r="88" spans="1:6" ht="15">
      <c r="A88" s="262"/>
      <c r="B88" s="262"/>
      <c r="C88" s="151"/>
      <c r="E88" s="150"/>
      <c r="F88" s="150"/>
    </row>
    <row r="89" spans="1:6" ht="15">
      <c r="A89" s="147"/>
      <c r="B89" s="150"/>
      <c r="C89" s="150"/>
      <c r="D89" s="150"/>
      <c r="E89" s="150"/>
      <c r="F89" s="150"/>
    </row>
    <row r="100" spans="2:20" hidden="1"/>
    <row r="101" spans="2:20" hidden="1"/>
    <row r="102" spans="2:20" hidden="1">
      <c r="B102" s="263" t="s">
        <v>54</v>
      </c>
      <c r="C102" s="263"/>
      <c r="D102" s="263"/>
      <c r="E102" s="263"/>
      <c r="F102" s="263"/>
      <c r="G102" s="263"/>
      <c r="H102" s="263"/>
      <c r="I102" s="263"/>
      <c r="J102" s="263"/>
    </row>
    <row r="103" spans="2:20" hidden="1">
      <c r="B103" s="263"/>
      <c r="C103" s="263"/>
      <c r="D103" s="263"/>
      <c r="E103" s="263"/>
      <c r="F103" s="263"/>
      <c r="G103" s="263"/>
      <c r="H103" s="263"/>
      <c r="I103" s="263"/>
      <c r="J103" s="263"/>
    </row>
    <row r="104" spans="2:20" ht="18" hidden="1">
      <c r="B104" s="263" t="s">
        <v>218</v>
      </c>
      <c r="C104" s="263"/>
      <c r="D104" s="263"/>
      <c r="E104" s="166"/>
      <c r="F104" s="166"/>
      <c r="G104" s="166"/>
      <c r="H104" s="166"/>
      <c r="I104" s="166"/>
      <c r="J104" s="166"/>
    </row>
    <row r="105" spans="2:20" ht="15" hidden="1">
      <c r="B105" s="255"/>
      <c r="C105" s="255"/>
      <c r="D105" s="255"/>
      <c r="E105" s="255"/>
      <c r="F105" s="255"/>
      <c r="G105" s="255"/>
      <c r="H105" s="255"/>
      <c r="I105" s="255"/>
      <c r="J105" s="255"/>
      <c r="R105" s="1" t="s">
        <v>324</v>
      </c>
      <c r="T105" s="63" t="s">
        <v>32</v>
      </c>
    </row>
    <row r="106" spans="2:20" ht="18" hidden="1">
      <c r="B106" s="166"/>
      <c r="C106" s="166"/>
      <c r="D106" s="166"/>
      <c r="E106" s="166"/>
      <c r="F106" s="166"/>
      <c r="G106" s="166"/>
      <c r="H106" s="166"/>
      <c r="I106" s="166"/>
      <c r="J106" s="166"/>
      <c r="R106" s="1" t="s">
        <v>233</v>
      </c>
      <c r="T106" s="1" t="str">
        <f>IF(C11=$R$106,$R$116,IF(C11=$R$107,$R$117,IF(C11=$R$108,$R$119,IF(C11=$R$109,$R$118,IF(C11=$R$110,$R$121,IF(C11=$R$111,$R$115,IF(C11=$R$105,$R$123,"")))))))</f>
        <v/>
      </c>
    </row>
    <row r="107" spans="2:20" ht="20.25" hidden="1">
      <c r="B107" s="260" t="s">
        <v>32</v>
      </c>
      <c r="C107" s="260"/>
      <c r="D107" s="260"/>
      <c r="E107" s="260"/>
      <c r="F107" s="93"/>
      <c r="G107" s="260" t="s">
        <v>33</v>
      </c>
      <c r="H107" s="260"/>
      <c r="I107" s="260"/>
      <c r="J107" s="260"/>
      <c r="R107" s="1" t="s">
        <v>234</v>
      </c>
      <c r="T107" s="1" t="str">
        <f>IF(C11=R108,R120,"")</f>
        <v/>
      </c>
    </row>
    <row r="108" spans="2:20" ht="18" hidden="1">
      <c r="B108" s="166"/>
      <c r="C108" s="166"/>
      <c r="D108" s="166"/>
      <c r="E108" s="166"/>
      <c r="F108" s="93"/>
      <c r="G108" s="166"/>
      <c r="H108" s="166"/>
      <c r="I108" s="166"/>
      <c r="J108" s="166"/>
      <c r="R108" s="1" t="s">
        <v>236</v>
      </c>
    </row>
    <row r="109" spans="2:20" ht="18" hidden="1">
      <c r="B109" s="166"/>
      <c r="C109" s="166"/>
      <c r="D109" s="166"/>
      <c r="E109" s="166"/>
      <c r="F109" s="93"/>
      <c r="G109" s="166"/>
      <c r="H109" s="166"/>
      <c r="I109" s="166"/>
      <c r="J109" s="166"/>
      <c r="R109" s="1" t="s">
        <v>235</v>
      </c>
      <c r="T109" s="63" t="s">
        <v>33</v>
      </c>
    </row>
    <row r="110" spans="2:20" ht="18" hidden="1">
      <c r="B110" s="257" t="s">
        <v>219</v>
      </c>
      <c r="C110" s="257"/>
      <c r="D110" s="257"/>
      <c r="E110" s="257"/>
      <c r="F110" s="93"/>
      <c r="G110" s="257" t="s">
        <v>219</v>
      </c>
      <c r="H110" s="257"/>
      <c r="I110" s="257"/>
      <c r="J110" s="257"/>
      <c r="R110" s="1" t="s">
        <v>237</v>
      </c>
      <c r="T110" s="1" t="str">
        <f>IF(E11=$R$106,$R$116,IF(E11=$R$107,$R$117,IF(E11=$R$108,$R$119,IF(E11=$R$109,$R$118,IF(E11=$R$110,$R$121,IF(E11=$R$111,$R$115,IF(E11=$R$112,$R$122,IF(E11=$R$105,$R$123,""))))))))</f>
        <v/>
      </c>
    </row>
    <row r="111" spans="2:20" ht="18" hidden="1">
      <c r="B111" s="255"/>
      <c r="C111" s="255"/>
      <c r="D111" s="255"/>
      <c r="E111" s="255"/>
      <c r="F111" s="93"/>
      <c r="G111" s="256"/>
      <c r="H111" s="255"/>
      <c r="I111" s="255"/>
      <c r="J111" s="255"/>
      <c r="R111" s="1" t="s">
        <v>134</v>
      </c>
      <c r="T111" s="1" t="str">
        <f>IF(E11=R108,R120,"")</f>
        <v/>
      </c>
    </row>
    <row r="112" spans="2:20" ht="18" hidden="1">
      <c r="B112" s="166"/>
      <c r="C112" s="166"/>
      <c r="D112" s="166"/>
      <c r="E112" s="166"/>
      <c r="F112" s="93"/>
      <c r="G112" s="166"/>
      <c r="H112" s="166"/>
      <c r="I112" s="166"/>
      <c r="J112" s="166"/>
      <c r="R112" s="1" t="s">
        <v>308</v>
      </c>
    </row>
    <row r="113" spans="2:55" ht="18" hidden="1">
      <c r="B113" s="257" t="s">
        <v>227</v>
      </c>
      <c r="C113" s="257"/>
      <c r="D113" s="166"/>
      <c r="E113" s="166"/>
      <c r="F113" s="93"/>
      <c r="G113" s="257" t="s">
        <v>227</v>
      </c>
      <c r="H113" s="257"/>
      <c r="I113" s="166"/>
      <c r="J113" s="166"/>
    </row>
    <row r="114" spans="2:55" ht="25.5" hidden="1">
      <c r="B114" s="234"/>
      <c r="C114" s="234"/>
      <c r="D114" s="234"/>
      <c r="E114" s="258"/>
      <c r="F114" s="55"/>
      <c r="G114" s="259"/>
      <c r="H114" s="234"/>
      <c r="I114" s="234"/>
      <c r="J114" s="234"/>
      <c r="Q114" s="5"/>
      <c r="R114" s="6"/>
      <c r="AN114" s="3"/>
      <c r="AO114" s="4" t="s">
        <v>0</v>
      </c>
      <c r="AP114" s="66" t="s">
        <v>1</v>
      </c>
      <c r="AQ114" s="3"/>
      <c r="AR114" s="3"/>
      <c r="AS114" s="3"/>
      <c r="AT114" s="3"/>
      <c r="AU114" s="3"/>
      <c r="AV114" s="3"/>
      <c r="AW114" s="3"/>
      <c r="AX114" s="3"/>
      <c r="AY114" s="3"/>
    </row>
    <row r="115" spans="2:55" ht="20.25" hidden="1">
      <c r="F115" s="55"/>
      <c r="M115" s="2" t="s">
        <v>32</v>
      </c>
      <c r="O115" s="2" t="s">
        <v>33</v>
      </c>
      <c r="Q115" s="5">
        <v>1</v>
      </c>
      <c r="R115" s="6" t="s">
        <v>134</v>
      </c>
      <c r="AM115" s="13"/>
      <c r="AN115" s="69" t="s">
        <v>4</v>
      </c>
      <c r="AO115" s="69" t="s">
        <v>5</v>
      </c>
      <c r="AP115" s="70" t="s">
        <v>5</v>
      </c>
      <c r="AQ115" s="69" t="s">
        <v>6</v>
      </c>
      <c r="AR115" s="69" t="s">
        <v>7</v>
      </c>
      <c r="AS115" s="69" t="s">
        <v>8</v>
      </c>
      <c r="AT115" s="7"/>
      <c r="AU115" s="7"/>
      <c r="AV115" s="7"/>
      <c r="AW115" s="7"/>
      <c r="AX115" s="7"/>
      <c r="AY115" s="7"/>
    </row>
    <row r="116" spans="2:55" hidden="1">
      <c r="B116" s="251" t="s">
        <v>2</v>
      </c>
      <c r="C116" s="251"/>
      <c r="D116" s="251"/>
      <c r="E116" s="251"/>
      <c r="F116" s="55"/>
      <c r="G116" s="251" t="s">
        <v>2</v>
      </c>
      <c r="H116" s="251"/>
      <c r="I116" s="251"/>
      <c r="J116" s="251"/>
      <c r="Q116" s="5">
        <v>2</v>
      </c>
      <c r="R116" s="6" t="s">
        <v>163</v>
      </c>
      <c r="T116" s="5">
        <v>1</v>
      </c>
      <c r="U116" s="6" t="s">
        <v>3</v>
      </c>
      <c r="AM116" s="13">
        <v>0</v>
      </c>
      <c r="AN116" s="13">
        <v>0</v>
      </c>
      <c r="AO116" s="13">
        <v>0</v>
      </c>
      <c r="AP116" s="68">
        <v>0</v>
      </c>
      <c r="AQ116" s="13">
        <v>0</v>
      </c>
      <c r="AR116" s="13">
        <v>0</v>
      </c>
      <c r="AS116" s="13">
        <v>0</v>
      </c>
    </row>
    <row r="117" spans="2:55" ht="15" hidden="1" thickBot="1">
      <c r="F117" s="55"/>
      <c r="M117" s="1">
        <f>IF($C$13=$R$116,$Q$116,IF($C$13=$R$117,$Q$117,IF($C$13=$R$118,$Q$118,IF($C$13=$R$119,$Q$119,IF($C$13=$R$120,$Q$120,IF($C$13=$R$121,$Q$121,IF($C$13=$R$122,$Q$122,IF($C$13=$R$124,$Q$124,1))))))))</f>
        <v>0</v>
      </c>
      <c r="O117" s="1">
        <f>IF($E$13=$R$115,$Q$115,IF($E$13=$R$116,$Q$116,IF($E$13=$R$117,$Q$117,IF($E$13=$R$118,$Q$118,IF($E$13=$R$119,$Q$119,IF($E$13=$R$120,$Q$120,IF($E$13=$R$121,$Q$121,IF($E$13=$R$122,$Q$115,IF($E$13=$R$123,$Q$115,IF($E$13=$R$124,$Q$124,1))))))))))</f>
        <v>0</v>
      </c>
      <c r="Q117" s="5">
        <v>3</v>
      </c>
      <c r="R117" s="6" t="s">
        <v>18</v>
      </c>
      <c r="T117" s="5">
        <v>2</v>
      </c>
      <c r="U117" s="6" t="s">
        <v>9</v>
      </c>
      <c r="AK117" s="99" t="s">
        <v>171</v>
      </c>
      <c r="AL117" s="99"/>
      <c r="AM117" s="99">
        <v>100001</v>
      </c>
      <c r="AN117" s="100">
        <v>0</v>
      </c>
      <c r="AO117" s="100">
        <v>0</v>
      </c>
      <c r="AP117" s="101">
        <v>0</v>
      </c>
      <c r="AQ117" s="100">
        <v>0</v>
      </c>
      <c r="AR117" s="100">
        <v>0</v>
      </c>
      <c r="AS117" s="100">
        <v>0</v>
      </c>
      <c r="AT117" s="5"/>
      <c r="AV117" s="5"/>
      <c r="AW117" s="5"/>
      <c r="AX117" s="5"/>
      <c r="AZ117" s="6"/>
      <c r="BA117" s="8"/>
      <c r="BB117" s="8"/>
      <c r="BC117" s="6"/>
    </row>
    <row r="118" spans="2:55" hidden="1">
      <c r="B118" s="251"/>
      <c r="C118" s="251"/>
      <c r="D118" s="251"/>
      <c r="E118" s="251"/>
      <c r="F118" s="55"/>
      <c r="G118" s="251"/>
      <c r="H118" s="251"/>
      <c r="I118" s="251"/>
      <c r="J118" s="251"/>
      <c r="Q118" s="5">
        <v>4</v>
      </c>
      <c r="R118" s="6" t="s">
        <v>164</v>
      </c>
      <c r="AK118" s="236" t="s">
        <v>16</v>
      </c>
      <c r="AL118" s="102">
        <v>1</v>
      </c>
      <c r="AM118" s="102">
        <v>201001</v>
      </c>
      <c r="AN118" s="103">
        <v>17</v>
      </c>
      <c r="AO118" s="103">
        <v>4</v>
      </c>
      <c r="AP118" s="104"/>
      <c r="AQ118" s="104"/>
      <c r="AR118" s="103">
        <v>5</v>
      </c>
      <c r="AS118" s="103">
        <v>3</v>
      </c>
      <c r="AT118" s="5"/>
      <c r="AV118" s="5"/>
      <c r="AW118" s="5"/>
      <c r="AX118" s="5"/>
      <c r="AZ118" s="6"/>
      <c r="BA118" s="8"/>
      <c r="BB118" s="8"/>
      <c r="BC118" s="6"/>
    </row>
    <row r="119" spans="2:55" hidden="1">
      <c r="B119" s="251" t="s">
        <v>12</v>
      </c>
      <c r="C119" s="251"/>
      <c r="D119" s="251"/>
      <c r="E119" s="251"/>
      <c r="F119" s="55"/>
      <c r="G119" s="251" t="s">
        <v>12</v>
      </c>
      <c r="H119" s="251"/>
      <c r="I119" s="251"/>
      <c r="J119" s="251"/>
      <c r="Q119" s="5">
        <v>5</v>
      </c>
      <c r="R119" s="6" t="s">
        <v>168</v>
      </c>
      <c r="T119" s="5">
        <v>1</v>
      </c>
      <c r="U119" s="6" t="s">
        <v>13</v>
      </c>
      <c r="AK119" s="237"/>
      <c r="AL119" s="13">
        <v>2</v>
      </c>
      <c r="AM119" s="13">
        <v>201002</v>
      </c>
      <c r="AN119" s="32">
        <v>16</v>
      </c>
      <c r="AO119" s="32">
        <v>4</v>
      </c>
      <c r="AP119" s="67"/>
      <c r="AQ119" s="67"/>
      <c r="AR119" s="32">
        <v>10</v>
      </c>
      <c r="AS119" s="32">
        <v>2.5</v>
      </c>
      <c r="AT119" s="5"/>
      <c r="AV119" s="5"/>
      <c r="AW119" s="5"/>
      <c r="AX119" s="5"/>
      <c r="AZ119" s="6"/>
      <c r="BA119" s="8"/>
      <c r="BB119" s="8"/>
      <c r="BC119" s="6"/>
    </row>
    <row r="120" spans="2:55" hidden="1">
      <c r="F120" s="55"/>
      <c r="M120" s="1">
        <f>IF($C$15=$R$127,$Q$127,IF($C$15=$R$128,$Q$128,0))</f>
        <v>0</v>
      </c>
      <c r="O120" s="1">
        <f>IF($E$15=$R$127,$Q$127,IF($E$15=$R$128,$Q$128,0))</f>
        <v>0</v>
      </c>
      <c r="Q120" s="5">
        <v>6</v>
      </c>
      <c r="R120" s="6" t="s">
        <v>169</v>
      </c>
      <c r="T120" s="5">
        <v>2</v>
      </c>
      <c r="U120" s="6" t="s">
        <v>166</v>
      </c>
      <c r="AK120" s="237"/>
      <c r="AL120" s="13">
        <v>3</v>
      </c>
      <c r="AM120" s="13">
        <v>201003</v>
      </c>
      <c r="AN120" s="32">
        <v>16</v>
      </c>
      <c r="AO120" s="32">
        <v>4</v>
      </c>
      <c r="AP120" s="67"/>
      <c r="AQ120" s="67"/>
      <c r="AR120" s="32">
        <v>20</v>
      </c>
      <c r="AS120" s="32">
        <v>2</v>
      </c>
      <c r="AT120" s="5"/>
      <c r="AV120" s="5"/>
      <c r="AW120" s="5"/>
      <c r="AX120" s="5"/>
      <c r="AZ120" s="6"/>
      <c r="BA120" s="8"/>
      <c r="BB120" s="8"/>
      <c r="BC120" s="6"/>
    </row>
    <row r="121" spans="2:55" hidden="1">
      <c r="B121" s="251"/>
      <c r="C121" s="251"/>
      <c r="D121" s="251"/>
      <c r="E121" s="251"/>
      <c r="F121" s="55"/>
      <c r="G121" s="251"/>
      <c r="H121" s="251"/>
      <c r="I121" s="251"/>
      <c r="J121" s="251"/>
      <c r="Q121" s="5">
        <v>7</v>
      </c>
      <c r="R121" s="6" t="s">
        <v>165</v>
      </c>
      <c r="AK121" s="237"/>
      <c r="AL121" s="13">
        <v>4</v>
      </c>
      <c r="AM121" s="13">
        <v>202111</v>
      </c>
      <c r="AN121" s="32">
        <v>16</v>
      </c>
      <c r="AO121" s="32">
        <v>1</v>
      </c>
      <c r="AP121" s="67"/>
      <c r="AQ121" s="67"/>
      <c r="AR121" s="32">
        <v>45</v>
      </c>
      <c r="AS121" s="32">
        <v>1.5</v>
      </c>
      <c r="AT121" s="5"/>
      <c r="AV121" s="5"/>
      <c r="AW121" s="5"/>
      <c r="AX121" s="5"/>
      <c r="AZ121" s="6"/>
      <c r="BA121" s="8"/>
      <c r="BB121" s="8"/>
      <c r="BC121" s="6"/>
    </row>
    <row r="122" spans="2:55" hidden="1">
      <c r="B122" s="251" t="s">
        <v>28</v>
      </c>
      <c r="C122" s="251"/>
      <c r="D122" s="251"/>
      <c r="E122" s="251"/>
      <c r="F122" s="55"/>
      <c r="G122" s="251" t="s">
        <v>28</v>
      </c>
      <c r="H122" s="251"/>
      <c r="I122" s="251"/>
      <c r="J122" s="251"/>
      <c r="Q122" s="5">
        <v>8</v>
      </c>
      <c r="R122" s="6" t="s">
        <v>308</v>
      </c>
      <c r="T122" s="5">
        <v>1</v>
      </c>
      <c r="U122" s="6" t="s">
        <v>17</v>
      </c>
      <c r="AK122" s="237"/>
      <c r="AL122" s="13">
        <v>5</v>
      </c>
      <c r="AM122" s="13">
        <v>202112</v>
      </c>
      <c r="AN122" s="32">
        <v>16</v>
      </c>
      <c r="AO122" s="32">
        <v>1</v>
      </c>
      <c r="AP122" s="67"/>
      <c r="AQ122" s="67"/>
      <c r="AR122" s="32">
        <v>45</v>
      </c>
      <c r="AS122" s="32">
        <v>1.5</v>
      </c>
      <c r="AT122" s="5"/>
      <c r="AV122" s="5"/>
      <c r="AW122" s="5"/>
      <c r="AX122" s="5"/>
      <c r="AZ122" s="6"/>
      <c r="BA122" s="8"/>
      <c r="BB122" s="8"/>
      <c r="BC122" s="6"/>
    </row>
    <row r="123" spans="2:55" hidden="1">
      <c r="F123" s="55"/>
      <c r="M123" s="1">
        <f>IF($C$14=$U$116,$T$116,IF($C$14=$U$117,$T$117,0))</f>
        <v>0</v>
      </c>
      <c r="O123" s="1">
        <f>IF($E$14=$U$116,$T$116,IF($E$14=$U$117,$T$117,0))</f>
        <v>0</v>
      </c>
      <c r="Q123" s="5">
        <v>9</v>
      </c>
      <c r="R123" s="6" t="s">
        <v>324</v>
      </c>
      <c r="T123" s="5">
        <v>2</v>
      </c>
      <c r="U123" s="6" t="s">
        <v>19</v>
      </c>
      <c r="AK123" s="237"/>
      <c r="AL123" s="13">
        <v>6</v>
      </c>
      <c r="AM123" s="13">
        <v>202121</v>
      </c>
      <c r="AN123" s="32">
        <v>16</v>
      </c>
      <c r="AO123" s="32">
        <v>1.5</v>
      </c>
      <c r="AP123" s="67"/>
      <c r="AQ123" s="67"/>
      <c r="AR123" s="32">
        <v>45</v>
      </c>
      <c r="AS123" s="32">
        <v>2</v>
      </c>
      <c r="AT123" s="5"/>
      <c r="AV123" s="5"/>
      <c r="AW123" s="5"/>
      <c r="AX123" s="5"/>
      <c r="AZ123" s="6"/>
      <c r="BA123" s="8"/>
      <c r="BB123" s="8"/>
      <c r="BC123" s="6"/>
    </row>
    <row r="124" spans="2:55" hidden="1">
      <c r="B124" s="251"/>
      <c r="C124" s="251"/>
      <c r="D124" s="251"/>
      <c r="E124" s="251"/>
      <c r="F124" s="55"/>
      <c r="G124" s="251"/>
      <c r="H124" s="251"/>
      <c r="I124" s="251"/>
      <c r="J124" s="251"/>
      <c r="M124" s="1">
        <f>M117*1000+M120*100+M123*10</f>
        <v>0</v>
      </c>
      <c r="O124" s="1">
        <f>O117*1000+O120*100+O123*10</f>
        <v>0</v>
      </c>
      <c r="Q124" s="5"/>
      <c r="R124" s="6"/>
      <c r="AK124" s="237"/>
      <c r="AL124" s="13">
        <v>7</v>
      </c>
      <c r="AM124" s="13">
        <v>202122</v>
      </c>
      <c r="AN124" s="32">
        <v>16</v>
      </c>
      <c r="AO124" s="32">
        <v>1.5</v>
      </c>
      <c r="AP124" s="67"/>
      <c r="AQ124" s="67"/>
      <c r="AR124" s="32">
        <v>45</v>
      </c>
      <c r="AS124" s="32">
        <v>2</v>
      </c>
      <c r="AT124" s="5"/>
      <c r="AV124" s="5"/>
      <c r="AW124" s="5"/>
      <c r="AX124" s="5"/>
      <c r="AZ124" s="6"/>
      <c r="BA124" s="8"/>
      <c r="BB124" s="8"/>
      <c r="BC124" s="6"/>
    </row>
    <row r="125" spans="2:55" hidden="1">
      <c r="B125" s="251" t="s">
        <v>29</v>
      </c>
      <c r="C125" s="251"/>
      <c r="D125" s="251"/>
      <c r="E125" s="251"/>
      <c r="F125" s="55"/>
      <c r="G125" s="251" t="s">
        <v>29</v>
      </c>
      <c r="H125" s="251"/>
      <c r="I125" s="251"/>
      <c r="J125" s="251"/>
      <c r="Q125" s="5"/>
      <c r="T125" s="5">
        <v>1</v>
      </c>
      <c r="U125" s="6" t="s">
        <v>20</v>
      </c>
      <c r="AK125" s="237"/>
      <c r="AL125" s="13">
        <v>8</v>
      </c>
      <c r="AM125" s="13">
        <v>202211</v>
      </c>
      <c r="AN125" s="32">
        <v>16</v>
      </c>
      <c r="AO125" s="32">
        <v>1</v>
      </c>
      <c r="AP125" s="67"/>
      <c r="AQ125" s="67"/>
      <c r="AR125" s="32">
        <v>100</v>
      </c>
      <c r="AS125" s="32">
        <v>1.5</v>
      </c>
      <c r="AT125" s="5"/>
      <c r="AV125" s="5"/>
      <c r="AW125" s="5"/>
      <c r="AX125" s="5"/>
      <c r="AZ125" s="6"/>
      <c r="BA125" s="8"/>
      <c r="BB125" s="8"/>
      <c r="BC125" s="6"/>
    </row>
    <row r="126" spans="2:55" ht="15" hidden="1" thickBot="1">
      <c r="F126" s="55"/>
      <c r="M126" s="1">
        <f>IF($C$16=$U$119,$T$119,IF($C$16=$U$120,$T$120,0))</f>
        <v>0</v>
      </c>
      <c r="O126" s="1">
        <f>IF($E$16=$U$119,$T$119,IF($E$16=$U$120,$T$120,0))</f>
        <v>0</v>
      </c>
      <c r="Q126" s="5"/>
      <c r="T126" s="5">
        <v>2</v>
      </c>
      <c r="U126" s="6" t="s">
        <v>21</v>
      </c>
      <c r="AK126" s="238"/>
      <c r="AL126" s="99">
        <v>9</v>
      </c>
      <c r="AM126" s="99">
        <v>202221</v>
      </c>
      <c r="AN126" s="100">
        <v>16</v>
      </c>
      <c r="AO126" s="100">
        <v>1.5</v>
      </c>
      <c r="AP126" s="101"/>
      <c r="AQ126" s="101"/>
      <c r="AR126" s="100">
        <v>100</v>
      </c>
      <c r="AS126" s="100">
        <v>2</v>
      </c>
      <c r="AT126" s="5"/>
      <c r="AV126" s="5"/>
      <c r="AW126" s="5"/>
      <c r="AX126" s="5"/>
      <c r="AZ126" s="6"/>
      <c r="BA126" s="8"/>
      <c r="BB126" s="8"/>
      <c r="BC126" s="6"/>
    </row>
    <row r="127" spans="2:55" hidden="1">
      <c r="B127" s="251"/>
      <c r="C127" s="251"/>
      <c r="D127" s="251"/>
      <c r="E127" s="251"/>
      <c r="F127" s="55"/>
      <c r="G127" s="251"/>
      <c r="H127" s="251"/>
      <c r="I127" s="251"/>
      <c r="J127" s="251"/>
      <c r="Q127" s="5">
        <v>1</v>
      </c>
      <c r="R127" s="6" t="s">
        <v>133</v>
      </c>
      <c r="T127" s="5">
        <v>0</v>
      </c>
      <c r="U127" s="6" t="s">
        <v>22</v>
      </c>
      <c r="AK127" s="236" t="s">
        <v>18</v>
      </c>
      <c r="AL127" s="102">
        <v>1</v>
      </c>
      <c r="AM127" s="102">
        <v>301001</v>
      </c>
      <c r="AN127" s="103" t="s">
        <v>178</v>
      </c>
      <c r="AO127" s="103" t="s">
        <v>178</v>
      </c>
      <c r="AP127" s="104"/>
      <c r="AQ127" s="104"/>
      <c r="AR127" s="103" t="s">
        <v>178</v>
      </c>
      <c r="AS127" s="103" t="s">
        <v>178</v>
      </c>
      <c r="AT127" s="5"/>
      <c r="AV127" s="5"/>
      <c r="AW127" s="5"/>
      <c r="AX127" s="5"/>
      <c r="AZ127" s="6"/>
      <c r="BA127" s="8"/>
      <c r="BB127" s="8"/>
      <c r="BC127" s="6"/>
    </row>
    <row r="128" spans="2:55" hidden="1">
      <c r="B128" s="251" t="s">
        <v>30</v>
      </c>
      <c r="C128" s="251"/>
      <c r="D128" s="251"/>
      <c r="E128" s="251"/>
      <c r="F128" s="55"/>
      <c r="G128" s="251" t="s">
        <v>30</v>
      </c>
      <c r="H128" s="251"/>
      <c r="I128" s="251"/>
      <c r="J128" s="251"/>
      <c r="Q128" s="5">
        <v>2</v>
      </c>
      <c r="R128" s="6" t="s">
        <v>23</v>
      </c>
      <c r="AK128" s="237"/>
      <c r="AL128" s="13">
        <v>2</v>
      </c>
      <c r="AM128" s="13">
        <v>301002</v>
      </c>
      <c r="AN128" s="32" t="s">
        <v>178</v>
      </c>
      <c r="AO128" s="32" t="s">
        <v>178</v>
      </c>
      <c r="AP128" s="67"/>
      <c r="AQ128" s="67"/>
      <c r="AR128" s="32" t="s">
        <v>178</v>
      </c>
      <c r="AS128" s="32" t="s">
        <v>178</v>
      </c>
      <c r="AT128" s="5"/>
      <c r="AV128" s="5"/>
      <c r="AW128" s="5"/>
      <c r="AX128" s="5"/>
      <c r="AZ128" s="6"/>
      <c r="BA128" s="8"/>
      <c r="BB128" s="8"/>
      <c r="BC128" s="6"/>
    </row>
    <row r="129" spans="2:55" hidden="1">
      <c r="F129" s="55"/>
      <c r="M129" s="1">
        <f>IF($C$17=$U$122,$T$122,IF($C$17=$U$123,$T$123,0))</f>
        <v>0</v>
      </c>
      <c r="O129" s="1">
        <f>IF($E$17=$U$122,$T$122,IF($E$17=$U$123,$T$123,0))</f>
        <v>0</v>
      </c>
      <c r="T129" s="5">
        <v>1</v>
      </c>
      <c r="U129" s="6" t="s">
        <v>24</v>
      </c>
      <c r="AK129" s="237"/>
      <c r="AL129" s="13">
        <v>3</v>
      </c>
      <c r="AM129" s="13">
        <v>301003</v>
      </c>
      <c r="AN129" s="32" t="s">
        <v>178</v>
      </c>
      <c r="AO129" s="32" t="s">
        <v>178</v>
      </c>
      <c r="AP129" s="68"/>
      <c r="AQ129" s="67"/>
      <c r="AR129" s="32" t="s">
        <v>178</v>
      </c>
      <c r="AS129" s="32" t="s">
        <v>178</v>
      </c>
      <c r="AT129" s="5"/>
      <c r="AU129" s="5"/>
      <c r="AV129" s="5"/>
      <c r="AW129" s="5"/>
      <c r="AX129" s="5"/>
      <c r="AZ129" s="6"/>
      <c r="BA129" s="8"/>
      <c r="BB129" s="8"/>
      <c r="BC129" s="6"/>
    </row>
    <row r="130" spans="2:55" hidden="1">
      <c r="B130" s="251"/>
      <c r="C130" s="251"/>
      <c r="D130" s="251"/>
      <c r="E130" s="251"/>
      <c r="F130" s="55"/>
      <c r="G130" s="251"/>
      <c r="H130" s="251"/>
      <c r="I130" s="251"/>
      <c r="J130" s="251"/>
      <c r="M130" s="1">
        <f>M117*10000+M120*1000+M123*100+M126*10+M129</f>
        <v>0</v>
      </c>
      <c r="O130" s="1">
        <f>O117*10000+O120*1000+O123*100+O126*10+O129</f>
        <v>0</v>
      </c>
      <c r="T130" s="5">
        <v>2</v>
      </c>
      <c r="U130" s="6" t="s">
        <v>25</v>
      </c>
      <c r="AK130" s="237"/>
      <c r="AL130" s="13">
        <v>4</v>
      </c>
      <c r="AM130" s="13">
        <v>302111</v>
      </c>
      <c r="AN130" s="32">
        <v>16</v>
      </c>
      <c r="AO130" s="32">
        <v>1.5</v>
      </c>
      <c r="AP130" s="67"/>
      <c r="AQ130" s="67"/>
      <c r="AR130" s="32">
        <v>25</v>
      </c>
      <c r="AS130" s="32">
        <v>1.5</v>
      </c>
      <c r="AT130" s="5"/>
      <c r="AV130" s="5"/>
      <c r="AW130" s="5"/>
      <c r="AX130" s="5"/>
      <c r="AZ130" s="6"/>
      <c r="BA130" s="8"/>
      <c r="BB130" s="8"/>
      <c r="BC130" s="6"/>
    </row>
    <row r="131" spans="2:55" hidden="1">
      <c r="B131" s="251" t="s">
        <v>31</v>
      </c>
      <c r="C131" s="251"/>
      <c r="D131" s="251"/>
      <c r="E131" s="251"/>
      <c r="F131" s="55"/>
      <c r="G131" s="251" t="s">
        <v>31</v>
      </c>
      <c r="H131" s="251"/>
      <c r="I131" s="251"/>
      <c r="J131" s="251"/>
      <c r="Q131" s="5">
        <v>1</v>
      </c>
      <c r="R131" s="6" t="s">
        <v>10</v>
      </c>
      <c r="T131" s="5">
        <v>3</v>
      </c>
      <c r="U131" s="6" t="s">
        <v>26</v>
      </c>
      <c r="AK131" s="237"/>
      <c r="AL131" s="13">
        <v>5</v>
      </c>
      <c r="AM131" s="13">
        <v>302112</v>
      </c>
      <c r="AN131" s="32">
        <v>16</v>
      </c>
      <c r="AO131" s="32">
        <v>1.5</v>
      </c>
      <c r="AP131" s="67"/>
      <c r="AQ131" s="67"/>
      <c r="AR131" s="32">
        <v>25</v>
      </c>
      <c r="AS131" s="32">
        <v>1.5</v>
      </c>
      <c r="AT131" s="5"/>
      <c r="AV131" s="5"/>
      <c r="AW131" s="5"/>
      <c r="AX131" s="5"/>
      <c r="AZ131" s="6"/>
      <c r="BA131" s="8"/>
      <c r="BB131" s="8"/>
      <c r="BC131" s="6"/>
    </row>
    <row r="132" spans="2:55" hidden="1">
      <c r="F132" s="55"/>
      <c r="M132" s="1">
        <f>IF($C$18=$R$143,$Q$143,IF($C$18=$R$144,$Q$144,IF($C$18=$R$145,$Q$145,$Q$146)))</f>
        <v>4</v>
      </c>
      <c r="O132" s="1">
        <f>IF($E$18=$R$152,$Q$152,IF($E$18=$R$153,$Q$153,IF($E$18=$R$154,$Q$154,$Q$155)))</f>
        <v>4</v>
      </c>
      <c r="Q132" s="5">
        <v>2</v>
      </c>
      <c r="R132" s="6" t="s">
        <v>11</v>
      </c>
      <c r="AK132" s="237"/>
      <c r="AL132" s="13">
        <v>6</v>
      </c>
      <c r="AM132" s="13">
        <v>302121</v>
      </c>
      <c r="AN132" s="32">
        <v>16</v>
      </c>
      <c r="AO132" s="32">
        <v>2</v>
      </c>
      <c r="AP132" s="67"/>
      <c r="AQ132" s="67"/>
      <c r="AR132" s="32">
        <v>25</v>
      </c>
      <c r="AS132" s="32">
        <v>2</v>
      </c>
      <c r="AT132" s="5"/>
      <c r="AV132" s="5"/>
      <c r="AW132" s="5"/>
      <c r="AX132" s="5"/>
      <c r="AZ132" s="6"/>
      <c r="BA132" s="8"/>
      <c r="BB132" s="8"/>
      <c r="BC132" s="6"/>
    </row>
    <row r="133" spans="2:55" hidden="1">
      <c r="F133" s="55"/>
      <c r="Q133" s="5">
        <v>3</v>
      </c>
      <c r="R133" s="6" t="s">
        <v>27</v>
      </c>
      <c r="T133" s="5"/>
      <c r="U133" s="6"/>
      <c r="AK133" s="237"/>
      <c r="AL133" s="13">
        <v>7</v>
      </c>
      <c r="AM133" s="13">
        <v>302122</v>
      </c>
      <c r="AN133" s="32">
        <v>16</v>
      </c>
      <c r="AO133" s="32">
        <v>2</v>
      </c>
      <c r="AP133" s="67"/>
      <c r="AQ133" s="67"/>
      <c r="AR133" s="32">
        <v>25</v>
      </c>
      <c r="AS133" s="32">
        <v>2</v>
      </c>
      <c r="AT133" s="5"/>
      <c r="AU133" s="5"/>
      <c r="AV133" s="5"/>
      <c r="AW133" s="5"/>
      <c r="AX133" s="5"/>
      <c r="AZ133" s="6"/>
      <c r="BA133" s="8"/>
      <c r="BB133" s="8"/>
      <c r="BC133" s="6"/>
    </row>
    <row r="134" spans="2:55" hidden="1">
      <c r="B134" s="251" t="s">
        <v>34</v>
      </c>
      <c r="C134" s="251"/>
      <c r="D134" s="251"/>
      <c r="E134" s="251"/>
      <c r="F134" s="55"/>
      <c r="G134" s="251" t="s">
        <v>49</v>
      </c>
      <c r="H134" s="251"/>
      <c r="I134" s="251"/>
      <c r="J134" s="251"/>
      <c r="M134" s="1">
        <f>M132+M129*10+M126*100+M123*1000+M120*10000+M117*100000</f>
        <v>4</v>
      </c>
      <c r="O134" s="1">
        <f>O132+O129*10+O126*100+O123*1000+O120*10000+O117*100000</f>
        <v>4</v>
      </c>
      <c r="Q134" s="5">
        <v>4</v>
      </c>
      <c r="R134" s="6" t="s">
        <v>255</v>
      </c>
      <c r="T134" s="5"/>
      <c r="U134" s="6"/>
      <c r="AK134" s="237"/>
      <c r="AL134" s="13">
        <v>8</v>
      </c>
      <c r="AM134" s="13">
        <v>302211</v>
      </c>
      <c r="AN134" s="32">
        <v>16</v>
      </c>
      <c r="AO134" s="32">
        <v>1.5</v>
      </c>
      <c r="AP134" s="67"/>
      <c r="AQ134" s="67"/>
      <c r="AR134" s="32">
        <v>25</v>
      </c>
      <c r="AS134" s="32">
        <v>1.5</v>
      </c>
      <c r="AT134" s="5"/>
      <c r="AU134" s="5"/>
      <c r="AV134" s="5"/>
      <c r="AW134" s="5"/>
      <c r="AX134" s="5"/>
      <c r="AZ134" s="6"/>
      <c r="BA134" s="8"/>
      <c r="BB134" s="8"/>
      <c r="BC134" s="6"/>
    </row>
    <row r="135" spans="2:55" ht="15" hidden="1" thickBot="1">
      <c r="B135" s="9" t="s">
        <v>35</v>
      </c>
      <c r="C135" s="253"/>
      <c r="D135" s="254"/>
      <c r="F135" s="55"/>
      <c r="G135" s="9" t="s">
        <v>35</v>
      </c>
      <c r="H135" s="253"/>
      <c r="I135" s="254"/>
      <c r="R135" s="6" t="s">
        <v>14</v>
      </c>
      <c r="AK135" s="238"/>
      <c r="AL135" s="99">
        <v>9</v>
      </c>
      <c r="AM135" s="99">
        <v>302221</v>
      </c>
      <c r="AN135" s="100">
        <v>16</v>
      </c>
      <c r="AO135" s="100">
        <v>2</v>
      </c>
      <c r="AP135" s="101"/>
      <c r="AQ135" s="101"/>
      <c r="AR135" s="100">
        <v>25</v>
      </c>
      <c r="AS135" s="100">
        <v>2</v>
      </c>
      <c r="AT135" s="5"/>
      <c r="AU135" s="5"/>
      <c r="AV135" s="5"/>
      <c r="AW135" s="5"/>
      <c r="AX135" s="5"/>
      <c r="AZ135" s="6"/>
      <c r="BA135" s="8"/>
      <c r="BB135" s="8"/>
      <c r="BC135" s="6"/>
    </row>
    <row r="136" spans="2:55" hidden="1">
      <c r="D136" s="1" t="str">
        <f>IF($M$117=4,C135/0.73/1000000," ")</f>
        <v xml:space="preserve"> </v>
      </c>
      <c r="E136" s="1" t="str">
        <f>IF($M$117=4,"mln m3"," ")</f>
        <v xml:space="preserve"> </v>
      </c>
      <c r="F136" s="55"/>
      <c r="I136" s="1" t="str">
        <f>IF($O$117=4,H135/0.73/1000000," ")</f>
        <v xml:space="preserve"> </v>
      </c>
      <c r="J136" s="1" t="str">
        <f>IF($O$117=4,"mln m3"," ")</f>
        <v xml:space="preserve"> </v>
      </c>
      <c r="R136" s="6" t="s">
        <v>15</v>
      </c>
      <c r="AK136" s="236" t="s">
        <v>172</v>
      </c>
      <c r="AL136" s="102">
        <v>1</v>
      </c>
      <c r="AM136" s="102">
        <v>400001</v>
      </c>
      <c r="AN136" s="103">
        <v>19</v>
      </c>
      <c r="AO136" s="103">
        <v>6.5</v>
      </c>
      <c r="AP136" s="104"/>
      <c r="AQ136" s="104"/>
      <c r="AR136" s="103">
        <v>0.5</v>
      </c>
      <c r="AS136" s="103">
        <v>1</v>
      </c>
      <c r="AT136" s="5"/>
      <c r="AU136" s="5"/>
      <c r="AV136" s="5"/>
      <c r="AW136" s="5"/>
      <c r="AX136" s="5"/>
      <c r="AZ136" s="6"/>
      <c r="BA136" s="8"/>
      <c r="BB136" s="8"/>
      <c r="BC136" s="6"/>
    </row>
    <row r="137" spans="2:55" hidden="1">
      <c r="B137" s="251" t="s">
        <v>162</v>
      </c>
      <c r="C137" s="251"/>
      <c r="D137" s="251"/>
      <c r="E137" s="251"/>
      <c r="F137" s="55"/>
      <c r="G137" s="251" t="s">
        <v>162</v>
      </c>
      <c r="H137" s="251"/>
      <c r="I137" s="251"/>
      <c r="J137" s="251"/>
      <c r="Q137" s="5">
        <v>1</v>
      </c>
      <c r="R137" s="6" t="s">
        <v>170</v>
      </c>
      <c r="U137" s="1" t="str">
        <f>IF($O$124&lt;2020,$R$141,IF($O$124&lt;3010,$U$119:$U$120,IF($O$124=3010,$R$141,IF($O$124=3020,$U$119:$U$120,$R$141))))</f>
        <v>NIE DOTYCZY</v>
      </c>
      <c r="V137" s="1" t="e">
        <f>IF($O$117=1,$R$141,IF($O$117&lt;=3,$U$116:$U$117,IF($O$117&lt;=5,$R$141,$U$116:$U$117)))</f>
        <v>#VALUE!</v>
      </c>
      <c r="AK137" s="237"/>
      <c r="AL137" s="13">
        <v>2</v>
      </c>
      <c r="AM137" s="13">
        <v>400002</v>
      </c>
      <c r="AN137" s="32">
        <v>19</v>
      </c>
      <c r="AO137" s="32">
        <v>5</v>
      </c>
      <c r="AP137" s="67"/>
      <c r="AQ137" s="67"/>
      <c r="AR137" s="32">
        <v>0.5</v>
      </c>
      <c r="AS137" s="32">
        <v>2.75</v>
      </c>
      <c r="AT137" s="5"/>
      <c r="AU137" s="5"/>
      <c r="AV137" s="5"/>
      <c r="AW137" s="5"/>
      <c r="AX137" s="5"/>
      <c r="AZ137" s="6"/>
      <c r="BA137" s="8"/>
      <c r="BB137" s="8"/>
      <c r="BC137" s="6"/>
    </row>
    <row r="138" spans="2:55" hidden="1">
      <c r="B138" s="9" t="s">
        <v>36</v>
      </c>
      <c r="C138" s="253"/>
      <c r="D138" s="254"/>
      <c r="E138" s="10" t="s">
        <v>37</v>
      </c>
      <c r="F138" s="55"/>
      <c r="G138" s="9" t="s">
        <v>36</v>
      </c>
      <c r="H138" s="253"/>
      <c r="I138" s="254"/>
      <c r="J138" s="10" t="s">
        <v>37</v>
      </c>
      <c r="Q138" s="5">
        <v>2</v>
      </c>
      <c r="R138" s="6" t="s">
        <v>167</v>
      </c>
      <c r="U138" s="1" t="str">
        <f>IF($M$124&lt;2020,$R$141,IF($M$124&lt;3010,$U$122:$U$123,IF($M$124=3010,$R$141,IF($M$124=3020,$U$122:$U$123,$R$141))))</f>
        <v>NIE DOTYCZY</v>
      </c>
      <c r="AK138" s="237"/>
      <c r="AL138" s="13">
        <v>3</v>
      </c>
      <c r="AM138" s="13">
        <v>400003</v>
      </c>
      <c r="AN138" s="32">
        <v>19</v>
      </c>
      <c r="AO138" s="32">
        <v>5</v>
      </c>
      <c r="AP138" s="67"/>
      <c r="AQ138" s="67"/>
      <c r="AR138" s="32">
        <v>0.6</v>
      </c>
      <c r="AS138" s="32">
        <v>1.8</v>
      </c>
      <c r="AT138" s="5"/>
      <c r="AU138" s="5"/>
      <c r="AV138" s="5"/>
      <c r="AW138" s="5"/>
      <c r="AX138" s="5"/>
      <c r="AZ138" s="6"/>
      <c r="BA138" s="8"/>
      <c r="BB138" s="8"/>
      <c r="BC138" s="6"/>
    </row>
    <row r="139" spans="2:55" ht="15" hidden="1" thickBot="1">
      <c r="F139" s="55"/>
      <c r="Q139" s="5">
        <v>3</v>
      </c>
      <c r="R139" s="6" t="s">
        <v>260</v>
      </c>
      <c r="AK139" s="238"/>
      <c r="AL139" s="99">
        <v>4</v>
      </c>
      <c r="AM139" s="99">
        <v>400004</v>
      </c>
      <c r="AN139" s="100">
        <v>19</v>
      </c>
      <c r="AO139" s="100">
        <v>5</v>
      </c>
      <c r="AP139" s="101"/>
      <c r="AQ139" s="101"/>
      <c r="AR139" s="100">
        <v>0.4</v>
      </c>
      <c r="AS139" s="100">
        <v>1</v>
      </c>
      <c r="AT139" s="5"/>
      <c r="AU139" s="5"/>
      <c r="AV139" s="5"/>
      <c r="AW139" s="5"/>
      <c r="AX139" s="5"/>
      <c r="AZ139" s="6"/>
      <c r="BA139" s="8"/>
      <c r="BB139" s="8"/>
      <c r="BC139" s="6"/>
    </row>
    <row r="140" spans="2:55" hidden="1">
      <c r="B140" s="251" t="s">
        <v>38</v>
      </c>
      <c r="C140" s="251"/>
      <c r="D140" s="251"/>
      <c r="E140" s="251"/>
      <c r="F140" s="55"/>
      <c r="G140" s="251" t="s">
        <v>38</v>
      </c>
      <c r="H140" s="251"/>
      <c r="I140" s="251"/>
      <c r="J140" s="251"/>
      <c r="AJ140" s="252" t="s">
        <v>175</v>
      </c>
      <c r="AK140" s="237" t="s">
        <v>173</v>
      </c>
      <c r="AL140" s="30">
        <v>1</v>
      </c>
      <c r="AM140" s="30">
        <v>510001</v>
      </c>
      <c r="AN140" s="29">
        <v>2</v>
      </c>
      <c r="AO140" s="29">
        <v>4800</v>
      </c>
      <c r="AP140" s="98"/>
      <c r="AQ140" s="98"/>
      <c r="AR140" s="29">
        <v>270</v>
      </c>
      <c r="AS140" s="29">
        <v>12</v>
      </c>
      <c r="AT140" s="5"/>
      <c r="AU140" s="5"/>
      <c r="AV140" s="5"/>
      <c r="AW140" s="5"/>
      <c r="AX140" s="5"/>
      <c r="AZ140" s="6"/>
      <c r="BA140" s="8"/>
      <c r="BB140" s="8"/>
      <c r="BC140" s="6"/>
    </row>
    <row r="141" spans="2:55" hidden="1">
      <c r="B141" s="9" t="s">
        <v>39</v>
      </c>
      <c r="C141" s="253"/>
      <c r="D141" s="254"/>
      <c r="E141" s="10" t="s">
        <v>37</v>
      </c>
      <c r="F141" s="55"/>
      <c r="G141" s="9" t="s">
        <v>39</v>
      </c>
      <c r="H141" s="253"/>
      <c r="I141" s="254"/>
      <c r="J141" s="10" t="s">
        <v>37</v>
      </c>
      <c r="R141" s="6" t="s">
        <v>215</v>
      </c>
      <c r="AJ141" s="246"/>
      <c r="AK141" s="237"/>
      <c r="AL141" s="13">
        <v>2</v>
      </c>
      <c r="AM141" s="13">
        <v>510002</v>
      </c>
      <c r="AN141" s="32">
        <v>2</v>
      </c>
      <c r="AO141" s="32">
        <v>3700</v>
      </c>
      <c r="AP141" s="67"/>
      <c r="AQ141" s="67"/>
      <c r="AR141" s="32">
        <v>270</v>
      </c>
      <c r="AS141" s="32">
        <v>14.5</v>
      </c>
      <c r="AT141" s="5"/>
      <c r="AU141" s="5"/>
      <c r="AV141" s="5"/>
      <c r="AW141" s="5"/>
      <c r="AX141" s="5"/>
      <c r="AZ141" s="6"/>
      <c r="BA141" s="8"/>
      <c r="BB141" s="8"/>
      <c r="BC141" s="6"/>
    </row>
    <row r="142" spans="2:55" hidden="1">
      <c r="F142" s="55"/>
      <c r="Q142" s="1" t="s">
        <v>50</v>
      </c>
      <c r="AJ142" s="246"/>
      <c r="AK142" s="237"/>
      <c r="AL142" s="13">
        <v>3</v>
      </c>
      <c r="AM142" s="13">
        <v>510003</v>
      </c>
      <c r="AN142" s="32">
        <v>2</v>
      </c>
      <c r="AO142" s="32">
        <v>1920</v>
      </c>
      <c r="AP142" s="67"/>
      <c r="AQ142" s="67"/>
      <c r="AR142" s="32">
        <v>270</v>
      </c>
      <c r="AS142" s="32">
        <v>14.5</v>
      </c>
      <c r="AT142" s="5"/>
      <c r="AU142" s="5"/>
      <c r="AV142" s="5"/>
      <c r="AW142" s="5"/>
      <c r="AX142" s="5"/>
      <c r="AZ142" s="6"/>
      <c r="BA142" s="8"/>
      <c r="BB142" s="8"/>
      <c r="BC142" s="6"/>
    </row>
    <row r="143" spans="2:55" hidden="1">
      <c r="B143" s="251" t="s">
        <v>41</v>
      </c>
      <c r="C143" s="251"/>
      <c r="D143" s="251"/>
      <c r="E143" s="251"/>
      <c r="F143" s="55"/>
      <c r="G143" s="251" t="s">
        <v>41</v>
      </c>
      <c r="H143" s="251"/>
      <c r="I143" s="251"/>
      <c r="J143" s="251"/>
      <c r="Q143" s="1">
        <v>1</v>
      </c>
      <c r="R143" s="1" t="str">
        <f>IF($M$130&lt;=10100,$U$127,IF($M$130&lt;20101,$U$129,IF($M$130&lt;=20212,$U$125,IF($M$130&lt;=20222,$U$127,IF($M$130&lt;30101,$U$129,IF($M$130&lt;=30212,$U$125,IF($M$130&lt;=30222,$U$127,(IF($M$130&lt;=62000,$R$131,(IF($M$130&lt;=70100,$R$139,$R$137)))))))))))</f>
        <v>Cały zakres wydajności cieplnej</v>
      </c>
      <c r="AJ143" s="246"/>
      <c r="AK143" s="248"/>
      <c r="AL143" s="13">
        <v>4</v>
      </c>
      <c r="AM143" s="13">
        <v>510004</v>
      </c>
      <c r="AN143" s="32">
        <v>2</v>
      </c>
      <c r="AO143" s="32">
        <v>1280</v>
      </c>
      <c r="AP143" s="67"/>
      <c r="AQ143" s="67"/>
      <c r="AR143" s="32">
        <v>360</v>
      </c>
      <c r="AS143" s="32">
        <v>15</v>
      </c>
      <c r="AT143" s="5"/>
      <c r="AU143" s="5"/>
      <c r="AV143" s="5"/>
      <c r="AW143" s="5"/>
      <c r="AX143" s="5"/>
      <c r="AZ143" s="6"/>
      <c r="BC143" s="6"/>
    </row>
    <row r="144" spans="2:55" hidden="1">
      <c r="B144" s="9" t="s">
        <v>42</v>
      </c>
      <c r="C144" s="253"/>
      <c r="D144" s="254"/>
      <c r="E144" s="10" t="s">
        <v>37</v>
      </c>
      <c r="F144" s="55"/>
      <c r="G144" s="9" t="s">
        <v>42</v>
      </c>
      <c r="H144" s="253"/>
      <c r="I144" s="254"/>
      <c r="J144" s="10" t="s">
        <v>37</v>
      </c>
      <c r="Q144" s="1">
        <v>2</v>
      </c>
      <c r="R144" s="1" t="str">
        <f>IF($M$130&lt;=10100," ",IF($M$130&lt;20101,$U$130,IF($M$130&lt;=20212,$U$126,IF($M$130&lt;=20222," ",IF($M$130&lt;30101,$U$130,IF($M$130&lt;=30212,$U$126,IF($M$130&lt;=30222," ",IF($M$130&lt;=62000,$R$132,(IF($M$130&lt;=70100," ",$R$138))))))))))</f>
        <v xml:space="preserve"> </v>
      </c>
      <c r="AJ144" s="246"/>
      <c r="AK144" s="250" t="s">
        <v>174</v>
      </c>
      <c r="AL144" s="13">
        <v>1</v>
      </c>
      <c r="AM144" s="13">
        <v>520001</v>
      </c>
      <c r="AN144" s="32">
        <v>2</v>
      </c>
      <c r="AO144" s="32">
        <v>7500</v>
      </c>
      <c r="AP144" s="67"/>
      <c r="AQ144" s="67"/>
      <c r="AR144" s="32">
        <v>270</v>
      </c>
      <c r="AS144" s="32">
        <v>12</v>
      </c>
      <c r="AT144" s="5"/>
      <c r="AU144" s="5"/>
      <c r="AV144" s="5"/>
      <c r="AW144" s="5"/>
      <c r="AX144" s="5"/>
      <c r="AZ144" s="6"/>
      <c r="BC144" s="6"/>
    </row>
    <row r="145" spans="2:55" hidden="1">
      <c r="F145" s="55"/>
      <c r="Q145" s="1">
        <v>3</v>
      </c>
      <c r="R145" s="1" t="str">
        <f>IF($M$130&lt;=10100," ",IF($M$130&lt;20101,$U$131,IF($M$130&lt;=20222," ",IF($M$130&lt;30101,$U$131,IF($M$130&lt;=30222," ",IF($M$130&lt;=40000,$R$133,IF($M$130&lt;=62000,$R$135," ")))))))</f>
        <v xml:space="preserve"> </v>
      </c>
      <c r="AJ145" s="246"/>
      <c r="AK145" s="237"/>
      <c r="AL145" s="13">
        <v>2</v>
      </c>
      <c r="AM145" s="13">
        <v>520002</v>
      </c>
      <c r="AN145" s="32">
        <v>2</v>
      </c>
      <c r="AO145" s="32">
        <v>3700</v>
      </c>
      <c r="AP145" s="67"/>
      <c r="AQ145" s="67"/>
      <c r="AR145" s="32">
        <v>270</v>
      </c>
      <c r="AS145" s="32">
        <v>14.5</v>
      </c>
      <c r="AT145" s="5"/>
      <c r="AU145" s="5"/>
      <c r="AV145" s="5"/>
      <c r="AW145" s="5"/>
      <c r="AX145" s="5"/>
      <c r="AZ145" s="6"/>
      <c r="BC145" s="6"/>
    </row>
    <row r="146" spans="2:55" hidden="1">
      <c r="B146" s="251" t="s">
        <v>158</v>
      </c>
      <c r="C146" s="251"/>
      <c r="D146" s="251"/>
      <c r="E146" s="251"/>
      <c r="F146" s="55"/>
      <c r="G146" s="251" t="s">
        <v>158</v>
      </c>
      <c r="H146" s="251"/>
      <c r="I146" s="251"/>
      <c r="J146" s="251"/>
      <c r="Q146" s="1">
        <v>4</v>
      </c>
      <c r="R146" s="1" t="str">
        <f>IF($M$130&lt;=30222," ",IF($M$130&lt;=40000,$R$134,IF($M$130&lt;=62000,$R$136,IF($M$130&lt;=20222," ",IF($M$130=60000,$U$127," ")))))</f>
        <v xml:space="preserve"> </v>
      </c>
      <c r="AJ146" s="246"/>
      <c r="AK146" s="237"/>
      <c r="AL146" s="13">
        <v>3</v>
      </c>
      <c r="AM146" s="13">
        <v>520003</v>
      </c>
      <c r="AN146" s="32">
        <v>2</v>
      </c>
      <c r="AO146" s="32">
        <v>1920</v>
      </c>
      <c r="AP146" s="67"/>
      <c r="AQ146" s="67"/>
      <c r="AR146" s="32">
        <v>270</v>
      </c>
      <c r="AS146" s="32">
        <v>14.5</v>
      </c>
      <c r="AT146" s="5"/>
      <c r="AU146" s="5"/>
      <c r="AV146" s="5"/>
      <c r="AW146" s="5"/>
      <c r="AX146" s="5"/>
      <c r="AZ146" s="6"/>
      <c r="BC146" s="6"/>
    </row>
    <row r="147" spans="2:55" ht="19.5" hidden="1" thickBot="1">
      <c r="B147" s="65" t="s">
        <v>159</v>
      </c>
      <c r="C147" s="9" t="s">
        <v>40</v>
      </c>
      <c r="D147" s="188"/>
      <c r="E147" s="10" t="s">
        <v>37</v>
      </c>
      <c r="F147" s="55"/>
      <c r="G147" s="65" t="s">
        <v>159</v>
      </c>
      <c r="H147" s="9" t="s">
        <v>40</v>
      </c>
      <c r="I147" s="188"/>
      <c r="J147" s="10" t="s">
        <v>37</v>
      </c>
      <c r="AJ147" s="247"/>
      <c r="AK147" s="238"/>
      <c r="AL147" s="99">
        <v>4</v>
      </c>
      <c r="AM147" s="99">
        <v>520004</v>
      </c>
      <c r="AN147" s="100">
        <v>2</v>
      </c>
      <c r="AO147" s="100">
        <v>1280</v>
      </c>
      <c r="AP147" s="101"/>
      <c r="AQ147" s="101"/>
      <c r="AR147" s="100">
        <v>360</v>
      </c>
      <c r="AS147" s="100">
        <v>15</v>
      </c>
      <c r="AT147" s="5"/>
      <c r="AU147" s="5"/>
      <c r="AV147" s="5"/>
      <c r="AW147" s="5"/>
      <c r="AX147" s="5"/>
      <c r="AZ147" s="6"/>
      <c r="BC147" s="6"/>
    </row>
    <row r="148" spans="2:55" ht="18.75" hidden="1">
      <c r="B148" s="65" t="s">
        <v>160</v>
      </c>
      <c r="C148" s="9" t="s">
        <v>40</v>
      </c>
      <c r="D148" s="188"/>
      <c r="E148" s="10" t="s">
        <v>37</v>
      </c>
      <c r="F148" s="55"/>
      <c r="G148" s="65" t="s">
        <v>160</v>
      </c>
      <c r="H148" s="9" t="s">
        <v>40</v>
      </c>
      <c r="I148" s="188"/>
      <c r="J148" s="10" t="s">
        <v>37</v>
      </c>
      <c r="AJ148" s="245" t="s">
        <v>176</v>
      </c>
      <c r="AK148" s="236" t="s">
        <v>173</v>
      </c>
      <c r="AL148" s="102">
        <v>1</v>
      </c>
      <c r="AM148" s="102">
        <v>610001</v>
      </c>
      <c r="AN148" s="103">
        <v>1.4</v>
      </c>
      <c r="AO148" s="103">
        <v>3360</v>
      </c>
      <c r="AP148" s="104"/>
      <c r="AQ148" s="104"/>
      <c r="AR148" s="103">
        <v>190</v>
      </c>
      <c r="AS148" s="103">
        <v>8.5</v>
      </c>
      <c r="AT148" s="5"/>
      <c r="AU148" s="5"/>
      <c r="AV148" s="5"/>
      <c r="AW148" s="5"/>
      <c r="AX148" s="5"/>
      <c r="AZ148" s="6"/>
      <c r="BA148" s="8"/>
      <c r="BB148" s="8"/>
      <c r="BC148" s="6"/>
    </row>
    <row r="149" spans="2:55" hidden="1">
      <c r="B149" s="65" t="s">
        <v>7</v>
      </c>
      <c r="C149" s="9" t="s">
        <v>40</v>
      </c>
      <c r="D149" s="188"/>
      <c r="E149" s="10" t="s">
        <v>37</v>
      </c>
      <c r="F149" s="55"/>
      <c r="G149" s="65" t="s">
        <v>7</v>
      </c>
      <c r="H149" s="9" t="s">
        <v>40</v>
      </c>
      <c r="I149" s="188"/>
      <c r="J149" s="10" t="s">
        <v>37</v>
      </c>
      <c r="AJ149" s="246"/>
      <c r="AK149" s="237"/>
      <c r="AL149" s="13">
        <v>2</v>
      </c>
      <c r="AM149" s="13">
        <v>610002</v>
      </c>
      <c r="AN149" s="32">
        <v>1.4</v>
      </c>
      <c r="AO149" s="32">
        <v>2590</v>
      </c>
      <c r="AP149" s="67"/>
      <c r="AQ149" s="67"/>
      <c r="AR149" s="32">
        <v>190</v>
      </c>
      <c r="AS149" s="32">
        <v>10.1</v>
      </c>
      <c r="AT149" s="5"/>
      <c r="AU149" s="5"/>
      <c r="AV149" s="5"/>
      <c r="AW149" s="5"/>
      <c r="AX149" s="5"/>
      <c r="AZ149" s="6"/>
      <c r="BC149" s="6"/>
    </row>
    <row r="150" spans="2:55" hidden="1">
      <c r="B150" s="65" t="s">
        <v>161</v>
      </c>
      <c r="C150" s="9" t="s">
        <v>40</v>
      </c>
      <c r="D150" s="188">
        <v>0</v>
      </c>
      <c r="E150" s="10" t="s">
        <v>37</v>
      </c>
      <c r="F150" s="55"/>
      <c r="G150" s="65" t="s">
        <v>161</v>
      </c>
      <c r="H150" s="9" t="s">
        <v>40</v>
      </c>
      <c r="I150" s="188"/>
      <c r="J150" s="10" t="s">
        <v>37</v>
      </c>
      <c r="AJ150" s="246"/>
      <c r="AK150" s="237"/>
      <c r="AL150" s="13">
        <v>3</v>
      </c>
      <c r="AM150" s="13">
        <v>610003</v>
      </c>
      <c r="AN150" s="32">
        <v>1.4</v>
      </c>
      <c r="AO150" s="32">
        <v>1345</v>
      </c>
      <c r="AP150" s="67"/>
      <c r="AQ150" s="67"/>
      <c r="AR150" s="32">
        <v>190</v>
      </c>
      <c r="AS150" s="32">
        <v>10.1</v>
      </c>
      <c r="AT150" s="5"/>
      <c r="AU150" s="5"/>
      <c r="AV150" s="5"/>
      <c r="AW150" s="5"/>
      <c r="AX150" s="5"/>
      <c r="AZ150" s="6"/>
      <c r="BC150" s="6"/>
    </row>
    <row r="151" spans="2:55" hidden="1">
      <c r="F151" s="55"/>
      <c r="Q151" s="1" t="s">
        <v>51</v>
      </c>
      <c r="AJ151" s="246"/>
      <c r="AK151" s="248"/>
      <c r="AL151" s="13">
        <v>4</v>
      </c>
      <c r="AM151" s="13">
        <v>610004</v>
      </c>
      <c r="AN151" s="32">
        <v>1.4</v>
      </c>
      <c r="AO151" s="32">
        <v>900</v>
      </c>
      <c r="AP151" s="67"/>
      <c r="AQ151" s="67"/>
      <c r="AR151" s="32">
        <v>225</v>
      </c>
      <c r="AS151" s="32">
        <v>10.5</v>
      </c>
      <c r="AT151" s="5"/>
      <c r="AU151" s="5"/>
      <c r="AV151" s="5"/>
      <c r="AW151" s="5"/>
      <c r="AX151" s="5"/>
      <c r="AZ151" s="6"/>
      <c r="BA151" s="8"/>
      <c r="BB151" s="8"/>
      <c r="BC151" s="6"/>
    </row>
    <row r="152" spans="2:55" ht="15" hidden="1">
      <c r="B152" s="249" t="s">
        <v>53</v>
      </c>
      <c r="C152" s="249"/>
      <c r="D152" s="249"/>
      <c r="E152" s="249"/>
      <c r="F152" s="55"/>
      <c r="G152" s="249" t="s">
        <v>53</v>
      </c>
      <c r="H152" s="249"/>
      <c r="I152" s="249"/>
      <c r="J152" s="249"/>
      <c r="Q152" s="1">
        <v>1</v>
      </c>
      <c r="R152" s="1" t="str">
        <f>IF($O$130&lt;=10100,$U$127,IF($O$130&lt;20101,$U$129,IF($O$130&lt;=20212,$U$125,IF($O$130&lt;=20222,$U$127,IF($O$130&lt;30101,$U$129,IF($O$130&lt;=30212,$U$125,IF($O$130&lt;=30222,$U$127,(IF($O$130&lt;=62000,$R$131,(IF($O$130&lt;=70100,$R$139,$R$137)))))))))))</f>
        <v>Cały zakres wydajności cieplnej</v>
      </c>
      <c r="AJ152" s="246"/>
      <c r="AK152" s="250" t="s">
        <v>174</v>
      </c>
      <c r="AL152" s="13">
        <v>1</v>
      </c>
      <c r="AM152" s="13">
        <v>620001</v>
      </c>
      <c r="AN152" s="32">
        <v>1.4</v>
      </c>
      <c r="AO152" s="32">
        <v>5250</v>
      </c>
      <c r="AP152" s="68"/>
      <c r="AQ152" s="68"/>
      <c r="AR152" s="32">
        <v>190</v>
      </c>
      <c r="AS152" s="32">
        <v>8.5</v>
      </c>
    </row>
    <row r="153" spans="2:55" ht="18" hidden="1">
      <c r="B153" s="11" t="s">
        <v>45</v>
      </c>
      <c r="C153" s="158"/>
      <c r="E153" s="53" t="s">
        <v>48</v>
      </c>
      <c r="F153" s="55"/>
      <c r="G153" s="54" t="s">
        <v>45</v>
      </c>
      <c r="H153" s="158"/>
      <c r="I153" s="62">
        <f>IF($O$134&lt;301001,$H$135*$H$138*$O$153*(100-$I$147)/100,IF($O$134&lt;=301003,"Nie oblicza się",IF($O$134&lt;701001,$H$135*$H$138*$O$153*(100-$I$147)/100,$H$135*$O$153*(100-$I$147)/100)))</f>
        <v>0</v>
      </c>
      <c r="J153" s="13" t="s">
        <v>48</v>
      </c>
      <c r="M153" s="1">
        <f>VLOOKUP($M$134,$AM$116:$AS$158,2)</f>
        <v>0</v>
      </c>
      <c r="O153" s="1">
        <f>VLOOKUP($O$134,$AM$116:$AS$158,2)</f>
        <v>0</v>
      </c>
      <c r="Q153" s="1">
        <v>2</v>
      </c>
      <c r="R153" s="1" t="str">
        <f>IF($O$130&lt;=10100," ",IF($O$130&lt;20101,$U$130,IF($O$130&lt;=20212,$U$126,IF($O$130&lt;=20222," ",IF($O$130&lt;30101,$U$130,IF($O$130&lt;=30212,$U$126,IF($O$130&lt;=30222," ",IF($O$130&lt;=62000,$R$132,(IF($O$130&lt;=70100," ",$R$138))))))))))</f>
        <v xml:space="preserve"> </v>
      </c>
      <c r="AJ153" s="246"/>
      <c r="AK153" s="237"/>
      <c r="AL153" s="13">
        <v>2</v>
      </c>
      <c r="AM153" s="13">
        <v>620002</v>
      </c>
      <c r="AN153" s="32">
        <v>1.4</v>
      </c>
      <c r="AO153" s="32">
        <v>2590</v>
      </c>
      <c r="AP153" s="68"/>
      <c r="AQ153" s="68"/>
      <c r="AR153" s="32">
        <v>190</v>
      </c>
      <c r="AS153" s="32">
        <v>10.1</v>
      </c>
    </row>
    <row r="154" spans="2:55" ht="18" hidden="1">
      <c r="B154" s="11" t="s">
        <v>46</v>
      </c>
      <c r="C154" s="158"/>
      <c r="E154" s="53" t="s">
        <v>48</v>
      </c>
      <c r="F154" s="55"/>
      <c r="G154" s="54" t="s">
        <v>46</v>
      </c>
      <c r="H154" s="158"/>
      <c r="I154" s="12">
        <f>IF($O$134&lt;301001,$H$135*$O$154*(100-$I$148)/100,IF($O$134&lt;=301003,"Nie oblicza się",$H$135*$O$154*(100-$I$148)/100))</f>
        <v>0</v>
      </c>
      <c r="J154" s="13" t="s">
        <v>48</v>
      </c>
      <c r="M154" s="1">
        <f>VLOOKUP($M$134,$AM$116:$AS$158,3)</f>
        <v>0</v>
      </c>
      <c r="O154" s="1">
        <f>VLOOKUP($O$134,$AM$116:$AS$158,3)</f>
        <v>0</v>
      </c>
      <c r="Q154" s="1">
        <v>3</v>
      </c>
      <c r="R154" s="1" t="str">
        <f>IF($O$130&lt;=10100," ",IF($O$130&lt;20101,$U$131,IF($O$130&lt;=20222," ",IF($O$130&lt;30101,$U$131,IF($O$130&lt;=30222," ",IF($O$130&lt;=40000,$R$133,IF($O$130&lt;=62000,$R$135," ")))))))</f>
        <v xml:space="preserve"> </v>
      </c>
      <c r="AJ154" s="246"/>
      <c r="AK154" s="237"/>
      <c r="AL154" s="13">
        <v>3</v>
      </c>
      <c r="AM154" s="13">
        <v>620003</v>
      </c>
      <c r="AN154" s="32">
        <v>1.4</v>
      </c>
      <c r="AO154" s="32">
        <v>1345</v>
      </c>
      <c r="AP154" s="67"/>
      <c r="AQ154" s="67"/>
      <c r="AR154" s="32">
        <v>190</v>
      </c>
      <c r="AS154" s="32">
        <v>10.1</v>
      </c>
      <c r="AT154" s="5"/>
      <c r="AU154" s="5"/>
      <c r="AV154" s="5"/>
      <c r="AW154" s="5"/>
      <c r="AX154" s="5"/>
      <c r="AY154" s="5"/>
    </row>
    <row r="155" spans="2:55" ht="18.75" hidden="1" thickBot="1">
      <c r="B155" s="11" t="s">
        <v>47</v>
      </c>
      <c r="C155" s="158"/>
      <c r="E155" s="53" t="s">
        <v>48</v>
      </c>
      <c r="F155" s="55"/>
      <c r="G155" s="54" t="s">
        <v>47</v>
      </c>
      <c r="H155" s="158"/>
      <c r="I155" s="12" t="s">
        <v>179</v>
      </c>
      <c r="J155" s="13" t="s">
        <v>48</v>
      </c>
      <c r="M155" s="1">
        <f>VLOOKUP($M$134,$AM$116:$AS$158,5)</f>
        <v>0</v>
      </c>
      <c r="O155" s="1">
        <f>VLOOKUP($O$134,$AM$116:$AS$158,5)</f>
        <v>0</v>
      </c>
      <c r="Q155" s="1">
        <v>4</v>
      </c>
      <c r="R155" s="1" t="str">
        <f>IF($O$130&lt;=30222," ",IF($O$130&lt;=40000,$R$134,IF($O$130&lt;=62000,$R$136,IF($O$130&lt;=20222," ",IF($O$130=60000,$U$127," ")))))</f>
        <v xml:space="preserve"> </v>
      </c>
      <c r="AJ155" s="247"/>
      <c r="AK155" s="238"/>
      <c r="AL155" s="99">
        <v>4</v>
      </c>
      <c r="AM155" s="99">
        <v>620004</v>
      </c>
      <c r="AN155" s="100">
        <v>1.4</v>
      </c>
      <c r="AO155" s="100">
        <v>900</v>
      </c>
      <c r="AP155" s="101"/>
      <c r="AQ155" s="101"/>
      <c r="AR155" s="100">
        <v>225</v>
      </c>
      <c r="AS155" s="100">
        <v>10.5</v>
      </c>
      <c r="AT155" s="5"/>
      <c r="AU155" s="5"/>
      <c r="AV155" s="5"/>
      <c r="AW155" s="5"/>
      <c r="AX155" s="5"/>
      <c r="AY155" s="5"/>
    </row>
    <row r="156" spans="2:55" ht="15" hidden="1">
      <c r="B156" s="11" t="s">
        <v>43</v>
      </c>
      <c r="C156" s="158"/>
      <c r="E156" s="53" t="s">
        <v>48</v>
      </c>
      <c r="F156" s="55"/>
      <c r="G156" s="54" t="s">
        <v>43</v>
      </c>
      <c r="H156" s="158"/>
      <c r="I156" s="12">
        <f>IF($O$134&lt;301001,$H$135*$O$156*(100-$I$149)/100,IF($O$134&lt;=301003,"Nie oblicza się",$H$135*$O$156*(100-$I$149)/100))</f>
        <v>0</v>
      </c>
      <c r="J156" s="13" t="s">
        <v>48</v>
      </c>
      <c r="M156" s="1">
        <f>VLOOKUP($M$134,$AM$116:$AS$158,6)</f>
        <v>0</v>
      </c>
      <c r="O156" s="1">
        <f>VLOOKUP($O$134,$AM$116:$AS$158,6)</f>
        <v>0</v>
      </c>
      <c r="AK156" s="236" t="s">
        <v>177</v>
      </c>
      <c r="AL156" s="102">
        <v>1</v>
      </c>
      <c r="AM156" s="102">
        <v>701001</v>
      </c>
      <c r="AN156" s="103">
        <f>T172</f>
        <v>0.02</v>
      </c>
      <c r="AO156" s="103">
        <f>T173</f>
        <v>0.8</v>
      </c>
      <c r="AP156" s="105"/>
      <c r="AQ156" s="105">
        <f>T174</f>
        <v>0</v>
      </c>
      <c r="AR156" s="103">
        <f>T175</f>
        <v>11</v>
      </c>
      <c r="AS156" s="103">
        <f>T176</f>
        <v>2.5</v>
      </c>
      <c r="AY156" s="5"/>
    </row>
    <row r="157" spans="2:55" ht="15" hidden="1">
      <c r="B157" s="239" t="s">
        <v>44</v>
      </c>
      <c r="C157" s="240"/>
      <c r="E157" s="53" t="s">
        <v>48</v>
      </c>
      <c r="F157" s="55"/>
      <c r="G157" s="241" t="s">
        <v>44</v>
      </c>
      <c r="H157" s="240"/>
      <c r="I157" s="12">
        <f>IF($O$134&lt;301001,$H$135*$O$157*$H$141*(100-$I$150)/(100-$H$144),IF($O$134&lt;=301003,"Nie oblicza się",IF($O$134&lt;=302221,$H$135*$O$157*$H$141*(100-$I$150)/(100-$H$144),IF($O$134&lt;=701001,$H$135*$O$157*(100-$I$150)/(100-$H$144),$H$135*$O$157*$H$141*(100-$I$150)/(100-$H$144)))))</f>
        <v>0</v>
      </c>
      <c r="J157" s="13" t="s">
        <v>48</v>
      </c>
      <c r="M157" s="1">
        <f>VLOOKUP($M$134,$AM$116:$AS$158,7)</f>
        <v>0</v>
      </c>
      <c r="O157" s="1">
        <f>VLOOKUP($O$134,$AM$116:$AS$158,7)</f>
        <v>0</v>
      </c>
      <c r="AK157" s="237"/>
      <c r="AL157" s="13">
        <v>2</v>
      </c>
      <c r="AM157" s="13">
        <v>702001</v>
      </c>
      <c r="AN157" s="32">
        <f>Q172</f>
        <v>0.11</v>
      </c>
      <c r="AO157" s="32">
        <f>Q173</f>
        <v>1</v>
      </c>
      <c r="AP157" s="67"/>
      <c r="AQ157" s="67">
        <f>Q174</f>
        <v>0</v>
      </c>
      <c r="AR157" s="32">
        <f>Q175</f>
        <v>26</v>
      </c>
      <c r="AS157" s="32">
        <f>Q176</f>
        <v>1.5</v>
      </c>
      <c r="AT157" s="5"/>
      <c r="AU157" s="5"/>
      <c r="AV157" s="5"/>
      <c r="AW157" s="5"/>
      <c r="AX157" s="5"/>
      <c r="AY157" s="5"/>
    </row>
    <row r="158" spans="2:55" ht="15" hidden="1" thickBot="1">
      <c r="F158" s="55"/>
      <c r="AK158" s="238"/>
      <c r="AL158" s="99">
        <v>3</v>
      </c>
      <c r="AM158" s="99">
        <v>702002</v>
      </c>
      <c r="AN158" s="100">
        <f>S172</f>
        <v>0.11</v>
      </c>
      <c r="AO158" s="100">
        <f>S173</f>
        <v>0.95</v>
      </c>
      <c r="AP158" s="101"/>
      <c r="AQ158" s="101">
        <f>S174</f>
        <v>0</v>
      </c>
      <c r="AR158" s="100">
        <f>S175</f>
        <v>16</v>
      </c>
      <c r="AS158" s="100">
        <f>S176</f>
        <v>1.5</v>
      </c>
      <c r="AY158" s="5"/>
    </row>
    <row r="159" spans="2:55" ht="15" hidden="1">
      <c r="B159" s="242" t="s">
        <v>52</v>
      </c>
      <c r="C159" s="243"/>
      <c r="D159" s="243"/>
      <c r="E159" s="243"/>
      <c r="F159" s="243"/>
      <c r="G159" s="243"/>
      <c r="H159" s="243"/>
      <c r="I159" s="243"/>
      <c r="J159" s="244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</row>
    <row r="160" spans="2:55" ht="18" hidden="1">
      <c r="B160" s="56"/>
      <c r="C160" s="11" t="s">
        <v>45</v>
      </c>
      <c r="D160" s="158"/>
      <c r="F160" s="13" t="s">
        <v>48</v>
      </c>
      <c r="J160" s="57"/>
      <c r="AN160" s="69" t="s">
        <v>4</v>
      </c>
      <c r="AO160" s="69" t="s">
        <v>5</v>
      </c>
      <c r="AP160" s="70" t="s">
        <v>5</v>
      </c>
      <c r="AQ160" s="69" t="s">
        <v>6</v>
      </c>
      <c r="AR160" s="69" t="s">
        <v>7</v>
      </c>
      <c r="AS160" s="69" t="s">
        <v>8</v>
      </c>
      <c r="AT160" s="5"/>
      <c r="AU160" s="5"/>
      <c r="AV160" s="5"/>
      <c r="AW160" s="5"/>
      <c r="AX160" s="5"/>
    </row>
    <row r="161" spans="2:45" ht="18" hidden="1">
      <c r="B161" s="56"/>
      <c r="C161" s="11" t="s">
        <v>46</v>
      </c>
      <c r="D161" s="158"/>
      <c r="F161" s="13" t="s">
        <v>48</v>
      </c>
      <c r="J161" s="57"/>
      <c r="AN161" s="5"/>
      <c r="AO161" s="5"/>
      <c r="AP161" s="5"/>
      <c r="AQ161" s="5"/>
      <c r="AR161" s="5"/>
      <c r="AS161" s="5"/>
    </row>
    <row r="162" spans="2:45" ht="18" hidden="1">
      <c r="B162" s="56"/>
      <c r="C162" s="11" t="s">
        <v>47</v>
      </c>
      <c r="D162" s="158"/>
      <c r="F162" s="13" t="s">
        <v>48</v>
      </c>
      <c r="J162" s="57"/>
      <c r="AN162" s="5"/>
      <c r="AO162" s="5"/>
      <c r="AP162" s="5"/>
      <c r="AQ162" s="5"/>
      <c r="AR162" s="5"/>
      <c r="AS162" s="5"/>
    </row>
    <row r="163" spans="2:45" ht="15" hidden="1">
      <c r="B163" s="56"/>
      <c r="C163" s="11" t="s">
        <v>43</v>
      </c>
      <c r="D163" s="158"/>
      <c r="F163" s="13" t="s">
        <v>48</v>
      </c>
      <c r="J163" s="57"/>
      <c r="AN163" s="5"/>
      <c r="AO163" s="5"/>
      <c r="AP163" s="5"/>
      <c r="AQ163" s="5"/>
      <c r="AR163" s="5"/>
      <c r="AS163" s="5"/>
    </row>
    <row r="164" spans="2:45" ht="15" hidden="1">
      <c r="B164" s="56"/>
      <c r="C164" s="239" t="s">
        <v>44</v>
      </c>
      <c r="D164" s="240"/>
      <c r="F164" s="13" t="s">
        <v>48</v>
      </c>
      <c r="J164" s="57"/>
      <c r="AN164" s="5"/>
      <c r="AO164" s="5"/>
      <c r="AP164" s="5"/>
      <c r="AQ164" s="5"/>
      <c r="AR164" s="5"/>
      <c r="AS164" s="5"/>
    </row>
    <row r="165" spans="2:45" hidden="1">
      <c r="B165" s="58"/>
      <c r="C165" s="59"/>
      <c r="D165" s="59"/>
      <c r="E165" s="59"/>
      <c r="F165" s="59"/>
      <c r="G165" s="59"/>
      <c r="H165" s="59"/>
      <c r="I165" s="59"/>
      <c r="J165" s="60"/>
      <c r="AN165" s="5"/>
      <c r="AO165" s="5"/>
      <c r="AP165" s="5"/>
      <c r="AQ165" s="5"/>
      <c r="AR165" s="5"/>
      <c r="AS165" s="5"/>
    </row>
    <row r="166" spans="2:45" hidden="1">
      <c r="AN166" s="5"/>
      <c r="AO166" s="5"/>
      <c r="AP166" s="5"/>
      <c r="AQ166" s="5"/>
      <c r="AR166" s="5"/>
      <c r="AS166" s="5"/>
    </row>
    <row r="167" spans="2:45" hidden="1">
      <c r="AN167" s="5"/>
      <c r="AO167" s="5"/>
      <c r="AP167" s="5"/>
      <c r="AQ167" s="5"/>
      <c r="AR167" s="5"/>
      <c r="AS167" s="5"/>
    </row>
    <row r="168" spans="2:45" hidden="1">
      <c r="B168" s="235" t="s">
        <v>220</v>
      </c>
      <c r="C168" s="235"/>
      <c r="D168" s="235"/>
      <c r="E168" s="235"/>
      <c r="AN168" s="5"/>
      <c r="AO168" s="5"/>
      <c r="AP168" s="5"/>
      <c r="AQ168" s="5"/>
      <c r="AR168" s="5"/>
      <c r="AS168" s="5"/>
    </row>
    <row r="169" spans="2:45" ht="15" hidden="1">
      <c r="B169" s="234"/>
      <c r="C169" s="234"/>
      <c r="D169" s="234"/>
      <c r="E169" s="234"/>
      <c r="O169" s="63" t="s">
        <v>180</v>
      </c>
      <c r="AN169" s="5"/>
      <c r="AO169" s="5"/>
      <c r="AP169" s="5"/>
      <c r="AQ169" s="5"/>
      <c r="AR169" s="5"/>
      <c r="AS169" s="5"/>
    </row>
    <row r="170" spans="2:45" ht="15" hidden="1">
      <c r="O170" s="63"/>
      <c r="Q170" s="233" t="s">
        <v>9</v>
      </c>
      <c r="R170" s="233"/>
      <c r="S170" s="233"/>
      <c r="T170" s="233" t="s">
        <v>3</v>
      </c>
      <c r="U170" s="233"/>
      <c r="V170" s="233"/>
      <c r="AN170" s="5"/>
      <c r="AO170" s="5"/>
      <c r="AP170" s="5"/>
      <c r="AQ170" s="5"/>
      <c r="AR170" s="5"/>
      <c r="AS170" s="5"/>
    </row>
    <row r="171" spans="2:45" ht="15" hidden="1">
      <c r="B171" s="235" t="s">
        <v>221</v>
      </c>
      <c r="C171" s="235"/>
      <c r="D171" s="235"/>
      <c r="E171" s="235"/>
      <c r="O171" s="63"/>
      <c r="Q171" s="13" t="s">
        <v>181</v>
      </c>
      <c r="R171" s="13"/>
      <c r="S171" s="13" t="s">
        <v>182</v>
      </c>
      <c r="T171" s="233" t="s">
        <v>259</v>
      </c>
      <c r="U171" s="233"/>
      <c r="V171" s="233"/>
      <c r="AN171" s="5"/>
      <c r="AO171" s="5"/>
      <c r="AP171" s="5"/>
      <c r="AQ171" s="5"/>
      <c r="AR171" s="5"/>
      <c r="AS171" s="5"/>
    </row>
    <row r="172" spans="2:45" ht="18" hidden="1">
      <c r="B172" s="234"/>
      <c r="C172" s="234"/>
      <c r="D172" s="234"/>
      <c r="E172" s="234"/>
      <c r="O172" s="11" t="s">
        <v>45</v>
      </c>
      <c r="P172" s="158"/>
      <c r="Q172" s="189">
        <v>0.11</v>
      </c>
      <c r="R172" s="30"/>
      <c r="S172" s="30">
        <v>0.11</v>
      </c>
      <c r="T172" s="225">
        <v>0.02</v>
      </c>
      <c r="U172" s="226"/>
      <c r="V172" s="227"/>
      <c r="AN172" s="5"/>
      <c r="AO172" s="5"/>
      <c r="AQ172" s="5"/>
      <c r="AR172" s="5"/>
      <c r="AS172" s="5"/>
    </row>
    <row r="173" spans="2:45" ht="18" hidden="1">
      <c r="O173" s="11" t="s">
        <v>46</v>
      </c>
      <c r="P173" s="158"/>
      <c r="Q173" s="190">
        <v>1</v>
      </c>
      <c r="R173" s="13"/>
      <c r="S173" s="13">
        <v>0.95</v>
      </c>
      <c r="T173" s="225">
        <v>0.8</v>
      </c>
      <c r="U173" s="226"/>
      <c r="V173" s="227"/>
      <c r="AN173" s="5"/>
      <c r="AO173" s="5"/>
      <c r="AP173" s="5"/>
      <c r="AQ173" s="5"/>
      <c r="AR173" s="5"/>
      <c r="AS173" s="5"/>
    </row>
    <row r="174" spans="2:45" ht="18" hidden="1">
      <c r="B174" s="235" t="s">
        <v>222</v>
      </c>
      <c r="C174" s="235"/>
      <c r="O174" s="11" t="s">
        <v>47</v>
      </c>
      <c r="P174" s="158"/>
      <c r="Q174" s="190">
        <v>0</v>
      </c>
      <c r="R174" s="13"/>
      <c r="S174" s="13">
        <v>0</v>
      </c>
      <c r="T174" s="225">
        <v>0</v>
      </c>
      <c r="U174" s="226"/>
      <c r="V174" s="227"/>
      <c r="AN174" s="5"/>
      <c r="AO174" s="5"/>
      <c r="AP174" s="5"/>
      <c r="AQ174" s="5"/>
      <c r="AR174" s="5"/>
      <c r="AS174" s="5"/>
    </row>
    <row r="175" spans="2:45" ht="15" hidden="1">
      <c r="B175" s="234"/>
      <c r="C175" s="234"/>
      <c r="D175" s="234"/>
      <c r="E175" s="234"/>
      <c r="O175" s="11" t="s">
        <v>43</v>
      </c>
      <c r="P175" s="158"/>
      <c r="Q175" s="190">
        <v>26</v>
      </c>
      <c r="R175" s="13"/>
      <c r="S175" s="13">
        <v>16</v>
      </c>
      <c r="T175" s="225">
        <v>11</v>
      </c>
      <c r="U175" s="226"/>
      <c r="V175" s="227"/>
      <c r="AN175" s="5"/>
      <c r="AO175" s="5"/>
      <c r="AP175" s="5"/>
      <c r="AQ175" s="5"/>
      <c r="AR175" s="5"/>
      <c r="AS175" s="5"/>
    </row>
    <row r="176" spans="2:45" ht="15" hidden="1">
      <c r="O176" s="223" t="s">
        <v>44</v>
      </c>
      <c r="P176" s="224"/>
      <c r="Q176" s="190">
        <v>1.5</v>
      </c>
      <c r="R176" s="13"/>
      <c r="S176" s="13">
        <v>1.5</v>
      </c>
      <c r="T176" s="225">
        <v>2.5</v>
      </c>
      <c r="U176" s="226"/>
      <c r="V176" s="227"/>
      <c r="AN176" s="5"/>
      <c r="AO176" s="5"/>
      <c r="AP176" s="5"/>
      <c r="AQ176" s="5"/>
      <c r="AR176" s="5"/>
      <c r="AS176" s="5"/>
    </row>
    <row r="177" spans="15:45" ht="15" hidden="1">
      <c r="O177" s="63" t="s">
        <v>143</v>
      </c>
      <c r="AN177" s="5"/>
      <c r="AO177" s="5"/>
      <c r="AP177" s="5"/>
      <c r="AQ177" s="5"/>
      <c r="AR177" s="5"/>
      <c r="AS177" s="5"/>
    </row>
    <row r="178" spans="15:45" hidden="1">
      <c r="AN178" s="5"/>
      <c r="AO178" s="5"/>
      <c r="AP178" s="5"/>
      <c r="AQ178" s="5"/>
      <c r="AR178" s="5"/>
      <c r="AS178" s="5"/>
    </row>
    <row r="179" spans="15:45" ht="15" hidden="1">
      <c r="O179" s="63"/>
      <c r="Q179" s="233" t="s">
        <v>9</v>
      </c>
      <c r="R179" s="233"/>
      <c r="S179" s="233"/>
      <c r="T179" s="233" t="s">
        <v>3</v>
      </c>
      <c r="U179" s="233"/>
      <c r="V179" s="233"/>
      <c r="AN179" s="5"/>
      <c r="AO179" s="5"/>
      <c r="AP179" s="5"/>
      <c r="AQ179" s="5"/>
      <c r="AR179" s="5"/>
      <c r="AS179" s="5"/>
    </row>
    <row r="180" spans="15:45" ht="15" hidden="1">
      <c r="O180" s="63"/>
      <c r="Q180" s="13" t="s">
        <v>181</v>
      </c>
      <c r="R180" s="13"/>
      <c r="S180" s="13" t="s">
        <v>182</v>
      </c>
      <c r="T180" s="233" t="s">
        <v>259</v>
      </c>
      <c r="U180" s="233"/>
      <c r="V180" s="233"/>
      <c r="AN180" s="5"/>
      <c r="AO180" s="5"/>
      <c r="AP180" s="5"/>
      <c r="AQ180" s="5"/>
      <c r="AR180" s="5"/>
      <c r="AS180" s="5"/>
    </row>
    <row r="181" spans="15:45" ht="18" hidden="1">
      <c r="O181" s="11" t="s">
        <v>45</v>
      </c>
      <c r="P181" s="158"/>
      <c r="Q181" s="189">
        <v>0.11</v>
      </c>
      <c r="R181" s="30"/>
      <c r="S181" s="30">
        <v>0.11</v>
      </c>
      <c r="T181" s="225">
        <v>0.02</v>
      </c>
      <c r="U181" s="226"/>
      <c r="V181" s="227"/>
      <c r="AN181" s="5"/>
      <c r="AO181" s="5"/>
      <c r="AP181" s="5"/>
      <c r="AQ181" s="5"/>
      <c r="AR181" s="5"/>
      <c r="AS181" s="5"/>
    </row>
    <row r="182" spans="15:45" ht="18" hidden="1">
      <c r="O182" s="11" t="s">
        <v>46</v>
      </c>
      <c r="P182" s="158"/>
      <c r="Q182" s="190">
        <v>1</v>
      </c>
      <c r="R182" s="13"/>
      <c r="S182" s="13">
        <v>0.95</v>
      </c>
      <c r="T182" s="225">
        <v>0.8</v>
      </c>
      <c r="U182" s="226"/>
      <c r="V182" s="227"/>
      <c r="AN182" s="5"/>
      <c r="AO182" s="5"/>
      <c r="AP182" s="5"/>
      <c r="AQ182" s="5"/>
      <c r="AR182" s="5"/>
      <c r="AS182" s="5"/>
    </row>
    <row r="183" spans="15:45" ht="18" hidden="1">
      <c r="O183" s="11" t="s">
        <v>47</v>
      </c>
      <c r="P183" s="158"/>
      <c r="Q183" s="190">
        <v>0</v>
      </c>
      <c r="R183" s="13"/>
      <c r="S183" s="13">
        <v>0</v>
      </c>
      <c r="T183" s="225">
        <v>0</v>
      </c>
      <c r="U183" s="226"/>
      <c r="V183" s="227"/>
      <c r="AN183" s="5"/>
      <c r="AO183" s="5"/>
      <c r="AP183" s="5"/>
      <c r="AQ183" s="5"/>
      <c r="AR183" s="5"/>
      <c r="AS183" s="5"/>
    </row>
    <row r="184" spans="15:45" ht="15" hidden="1">
      <c r="O184" s="11" t="s">
        <v>43</v>
      </c>
      <c r="P184" s="158"/>
      <c r="Q184" s="190">
        <v>26</v>
      </c>
      <c r="R184" s="13"/>
      <c r="S184" s="13">
        <v>16</v>
      </c>
      <c r="T184" s="225">
        <v>11</v>
      </c>
      <c r="U184" s="226"/>
      <c r="V184" s="227"/>
      <c r="AN184" s="5"/>
      <c r="AO184" s="5"/>
      <c r="AP184" s="5"/>
      <c r="AQ184" s="5"/>
      <c r="AR184" s="5"/>
      <c r="AS184" s="5"/>
    </row>
    <row r="185" spans="15:45" ht="15" hidden="1">
      <c r="O185" s="223" t="s">
        <v>44</v>
      </c>
      <c r="P185" s="224"/>
      <c r="Q185" s="190">
        <v>1.5</v>
      </c>
      <c r="R185" s="13"/>
      <c r="S185" s="13">
        <v>1.5</v>
      </c>
      <c r="T185" s="225">
        <v>2.5</v>
      </c>
      <c r="U185" s="226"/>
      <c r="V185" s="227"/>
      <c r="AN185" s="5"/>
      <c r="AO185" s="5"/>
      <c r="AP185" s="5"/>
      <c r="AQ185" s="5"/>
      <c r="AR185" s="5"/>
      <c r="AS185" s="5"/>
    </row>
    <row r="186" spans="15:45" hidden="1">
      <c r="AN186" s="5"/>
      <c r="AO186" s="5"/>
      <c r="AP186" s="5"/>
      <c r="AQ186" s="5"/>
      <c r="AR186" s="5"/>
      <c r="AS186" s="5"/>
    </row>
    <row r="187" spans="15:45" hidden="1">
      <c r="AN187" s="5"/>
      <c r="AO187" s="5"/>
      <c r="AP187" s="5"/>
      <c r="AQ187" s="5"/>
      <c r="AR187" s="5"/>
      <c r="AS187" s="5"/>
    </row>
    <row r="188" spans="15:45" hidden="1">
      <c r="AN188" s="5"/>
      <c r="AO188" s="5"/>
      <c r="AP188" s="5"/>
      <c r="AQ188" s="5"/>
      <c r="AR188" s="5"/>
      <c r="AS188" s="5"/>
    </row>
    <row r="189" spans="15:45" hidden="1">
      <c r="AN189" s="5"/>
      <c r="AO189" s="5"/>
      <c r="AP189" s="5"/>
      <c r="AQ189" s="5"/>
      <c r="AR189" s="5"/>
      <c r="AS189" s="5"/>
    </row>
    <row r="190" spans="15:45" hidden="1">
      <c r="AN190" s="5"/>
      <c r="AO190" s="5"/>
      <c r="AP190" s="5"/>
      <c r="AQ190" s="5"/>
      <c r="AR190" s="5"/>
      <c r="AS190" s="5"/>
    </row>
    <row r="191" spans="15:45" hidden="1">
      <c r="AN191" s="5"/>
      <c r="AO191" s="5"/>
      <c r="AP191" s="5"/>
      <c r="AQ191" s="5"/>
      <c r="AR191" s="5"/>
      <c r="AS191" s="5"/>
    </row>
    <row r="192" spans="15:45" hidden="1"/>
    <row r="193" spans="1:25" hidden="1"/>
    <row r="194" spans="1:25" hidden="1"/>
    <row r="195" spans="1:25" hidden="1"/>
    <row r="196" spans="1:25" hidden="1"/>
    <row r="197" spans="1:25" hidden="1"/>
    <row r="198" spans="1:25" hidden="1"/>
    <row r="199" spans="1:25" hidden="1"/>
    <row r="200" spans="1:25" hidden="1"/>
    <row r="201" spans="1:25" hidden="1">
      <c r="A201" s="14"/>
      <c r="B201" s="14"/>
      <c r="C201" s="14"/>
      <c r="D201" s="14"/>
      <c r="E201" s="14"/>
      <c r="F201" s="14"/>
      <c r="G201" s="14"/>
      <c r="H201" s="228" t="s">
        <v>135</v>
      </c>
      <c r="I201" s="228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</row>
    <row r="202" spans="1:25" ht="15" hidden="1">
      <c r="A202" s="14"/>
      <c r="B202" s="14"/>
      <c r="C202" s="14"/>
      <c r="D202" s="14"/>
      <c r="E202" s="14"/>
      <c r="F202" s="14"/>
      <c r="G202" s="14"/>
      <c r="H202" s="17" t="s">
        <v>136</v>
      </c>
      <c r="I202" s="17" t="s">
        <v>137</v>
      </c>
      <c r="J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 t="s">
        <v>252</v>
      </c>
      <c r="V202" s="14" t="s">
        <v>252</v>
      </c>
      <c r="W202" s="14" t="s">
        <v>253</v>
      </c>
      <c r="X202" s="14"/>
      <c r="Y202" s="14"/>
    </row>
    <row r="203" spans="1:25" ht="16.5" hidden="1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" t="s">
        <v>86</v>
      </c>
      <c r="V203" s="1" t="s">
        <v>258</v>
      </c>
      <c r="W203" s="1" t="s">
        <v>82</v>
      </c>
      <c r="X203" s="14"/>
      <c r="Y203" s="14"/>
    </row>
    <row r="204" spans="1:25" hidden="1">
      <c r="A204" s="5">
        <v>1</v>
      </c>
      <c r="B204" s="6" t="s">
        <v>134</v>
      </c>
      <c r="D204" s="14"/>
      <c r="E204" s="64" t="s">
        <v>254</v>
      </c>
      <c r="F204" s="14"/>
      <c r="G204" s="14"/>
      <c r="H204" s="14" t="s">
        <v>309</v>
      </c>
      <c r="I204" s="14" t="s">
        <v>309</v>
      </c>
      <c r="J204" s="14"/>
      <c r="K204" s="14"/>
      <c r="L204" s="14"/>
      <c r="M204" s="14"/>
      <c r="N204" s="14"/>
      <c r="O204" s="14"/>
      <c r="P204" s="14"/>
      <c r="Q204" s="14"/>
      <c r="R204" s="14"/>
      <c r="S204" s="14">
        <v>100</v>
      </c>
      <c r="T204" s="14" t="s">
        <v>139</v>
      </c>
      <c r="U204" s="14">
        <v>0</v>
      </c>
      <c r="V204" s="14">
        <v>0</v>
      </c>
      <c r="W204" s="14">
        <v>0</v>
      </c>
      <c r="X204" s="14"/>
      <c r="Y204" s="14"/>
    </row>
    <row r="205" spans="1:25" hidden="1">
      <c r="A205" s="5">
        <v>2</v>
      </c>
      <c r="B205" s="6" t="s">
        <v>163</v>
      </c>
      <c r="D205" s="14"/>
      <c r="E205" s="134">
        <v>860</v>
      </c>
      <c r="F205" s="14"/>
      <c r="G205" s="14"/>
      <c r="H205" s="18" t="s">
        <v>114</v>
      </c>
      <c r="I205" s="16">
        <v>1</v>
      </c>
      <c r="J205" s="14">
        <v>0</v>
      </c>
      <c r="K205" s="15" t="s">
        <v>113</v>
      </c>
      <c r="L205" s="14"/>
      <c r="M205" s="15" t="s">
        <v>112</v>
      </c>
      <c r="N205" s="14"/>
      <c r="O205" s="18" t="s">
        <v>56</v>
      </c>
      <c r="P205" s="14"/>
      <c r="Q205" s="14">
        <v>1</v>
      </c>
      <c r="R205" s="14"/>
      <c r="S205" s="19"/>
      <c r="T205" s="18"/>
      <c r="U205" s="20"/>
      <c r="V205" s="20"/>
      <c r="W205" s="20"/>
      <c r="X205" s="14"/>
      <c r="Y205" s="14"/>
    </row>
    <row r="206" spans="1:25" hidden="1">
      <c r="A206" s="5">
        <v>3</v>
      </c>
      <c r="B206" s="6" t="s">
        <v>18</v>
      </c>
      <c r="D206" s="14"/>
      <c r="E206" s="14"/>
      <c r="F206" s="14"/>
      <c r="G206" s="14"/>
      <c r="H206" s="18" t="s">
        <v>111</v>
      </c>
      <c r="I206" s="16">
        <v>2</v>
      </c>
      <c r="J206" s="14">
        <v>0</v>
      </c>
      <c r="K206" s="15" t="s">
        <v>110</v>
      </c>
      <c r="L206" s="14"/>
      <c r="M206" s="15" t="s">
        <v>109</v>
      </c>
      <c r="N206" s="14"/>
      <c r="O206" s="18" t="s">
        <v>55</v>
      </c>
      <c r="P206" s="14"/>
      <c r="Q206" s="14">
        <v>2</v>
      </c>
      <c r="R206" s="14"/>
      <c r="S206" s="19"/>
      <c r="T206" s="18"/>
      <c r="U206" s="20"/>
      <c r="V206" s="20"/>
      <c r="W206" s="20"/>
      <c r="X206" s="14"/>
      <c r="Y206" s="14"/>
    </row>
    <row r="207" spans="1:25" hidden="1">
      <c r="A207" s="5">
        <v>4</v>
      </c>
      <c r="B207" s="6" t="s">
        <v>164</v>
      </c>
      <c r="D207" s="14"/>
      <c r="E207" s="14"/>
      <c r="F207" s="14"/>
      <c r="G207" s="14"/>
      <c r="H207" s="18" t="s">
        <v>108</v>
      </c>
      <c r="I207" s="16">
        <v>3</v>
      </c>
      <c r="J207" s="14"/>
      <c r="K207" s="15" t="s">
        <v>107</v>
      </c>
      <c r="L207" s="14"/>
      <c r="M207" s="15" t="s">
        <v>106</v>
      </c>
      <c r="N207" s="14"/>
      <c r="O207" s="18" t="s">
        <v>88</v>
      </c>
      <c r="P207" s="14"/>
      <c r="Q207" s="14">
        <v>1</v>
      </c>
      <c r="R207" s="14"/>
      <c r="S207" s="19"/>
      <c r="T207" s="18"/>
      <c r="U207" s="20"/>
      <c r="V207" s="20"/>
      <c r="W207" s="20"/>
      <c r="X207" s="14"/>
      <c r="Y207" s="14"/>
    </row>
    <row r="208" spans="1:25" hidden="1">
      <c r="A208" s="5">
        <v>5</v>
      </c>
      <c r="B208" s="6" t="s">
        <v>168</v>
      </c>
      <c r="D208" s="14"/>
      <c r="E208" s="14"/>
      <c r="F208" s="14"/>
      <c r="G208" s="14"/>
      <c r="H208" s="18" t="s">
        <v>105</v>
      </c>
      <c r="I208" s="16">
        <v>4</v>
      </c>
      <c r="J208" s="14"/>
      <c r="K208" s="15" t="s">
        <v>104</v>
      </c>
      <c r="L208" s="14"/>
      <c r="M208" s="15" t="s">
        <v>103</v>
      </c>
      <c r="N208" s="14"/>
      <c r="O208" s="18" t="s">
        <v>87</v>
      </c>
      <c r="P208" s="14"/>
      <c r="Q208" s="14">
        <v>2</v>
      </c>
      <c r="R208" s="14"/>
      <c r="S208" s="19"/>
      <c r="T208" s="18"/>
      <c r="U208" s="20"/>
      <c r="V208" s="20"/>
      <c r="W208" s="20"/>
      <c r="X208" s="14"/>
      <c r="Y208" s="14"/>
    </row>
    <row r="209" spans="1:25" hidden="1">
      <c r="A209" s="5">
        <v>6</v>
      </c>
      <c r="B209" s="6" t="s">
        <v>169</v>
      </c>
      <c r="D209" s="14"/>
      <c r="E209" s="14"/>
      <c r="F209" s="14"/>
      <c r="G209" s="14"/>
      <c r="H209" s="18" t="s">
        <v>146</v>
      </c>
      <c r="I209" s="16">
        <v>5</v>
      </c>
      <c r="J209" s="14"/>
      <c r="K209" s="15" t="s">
        <v>249</v>
      </c>
      <c r="L209" s="14"/>
      <c r="M209" s="15" t="s">
        <v>102</v>
      </c>
      <c r="N209" s="14"/>
      <c r="O209" s="18" t="s">
        <v>85</v>
      </c>
      <c r="P209" s="14"/>
      <c r="Q209" s="14">
        <v>3</v>
      </c>
      <c r="R209" s="14"/>
      <c r="S209" s="19"/>
      <c r="T209" s="18"/>
      <c r="U209" s="20"/>
      <c r="V209" s="20"/>
      <c r="W209" s="20"/>
      <c r="X209" s="14"/>
      <c r="Y209" s="14"/>
    </row>
    <row r="210" spans="1:25" hidden="1">
      <c r="A210" s="5">
        <v>7</v>
      </c>
      <c r="B210" s="6" t="s">
        <v>165</v>
      </c>
      <c r="D210" s="14"/>
      <c r="E210" s="14"/>
      <c r="F210" s="14"/>
      <c r="G210" s="14"/>
      <c r="H210" s="18" t="s">
        <v>147</v>
      </c>
      <c r="I210" s="16">
        <v>6</v>
      </c>
      <c r="J210" s="14"/>
      <c r="K210" s="15" t="s">
        <v>152</v>
      </c>
      <c r="L210" s="14"/>
      <c r="M210" s="15" t="s">
        <v>101</v>
      </c>
      <c r="N210" s="14"/>
      <c r="O210" s="18" t="s">
        <v>84</v>
      </c>
      <c r="P210" s="14"/>
      <c r="Q210" s="14">
        <v>1</v>
      </c>
      <c r="R210" s="14"/>
      <c r="S210" s="19"/>
      <c r="T210" s="18"/>
      <c r="U210" s="20"/>
      <c r="V210" s="20"/>
      <c r="W210" s="20"/>
      <c r="X210" s="14"/>
      <c r="Y210" s="14"/>
    </row>
    <row r="211" spans="1:25" hidden="1">
      <c r="A211" s="162">
        <v>8</v>
      </c>
      <c r="B211" s="6" t="s">
        <v>308</v>
      </c>
      <c r="C211" s="14"/>
      <c r="D211" s="14"/>
      <c r="E211" s="14"/>
      <c r="F211" s="14"/>
      <c r="G211" s="14"/>
      <c r="H211" s="18" t="s">
        <v>148</v>
      </c>
      <c r="I211" s="16">
        <v>7</v>
      </c>
      <c r="J211" s="14"/>
      <c r="K211" s="15" t="s">
        <v>153</v>
      </c>
      <c r="L211" s="14"/>
      <c r="M211" s="15" t="s">
        <v>100</v>
      </c>
      <c r="N211" s="14"/>
      <c r="O211" s="18" t="s">
        <v>83</v>
      </c>
      <c r="P211" s="14"/>
      <c r="Q211" s="14">
        <v>2</v>
      </c>
      <c r="R211" s="14"/>
      <c r="S211" s="19"/>
      <c r="T211" s="18"/>
      <c r="U211" s="20"/>
      <c r="V211" s="20"/>
      <c r="W211" s="20"/>
      <c r="X211" s="14"/>
      <c r="Y211" s="14"/>
    </row>
    <row r="212" spans="1:25" hidden="1">
      <c r="A212" s="162">
        <v>9</v>
      </c>
      <c r="B212" s="6" t="s">
        <v>324</v>
      </c>
      <c r="C212" s="14"/>
      <c r="D212" s="14"/>
      <c r="E212" s="14"/>
      <c r="F212" s="14"/>
      <c r="G212" s="14"/>
      <c r="H212" s="18" t="s">
        <v>149</v>
      </c>
      <c r="I212" s="16">
        <v>8</v>
      </c>
      <c r="J212" s="14"/>
      <c r="K212" s="15" t="s">
        <v>154</v>
      </c>
      <c r="L212" s="14"/>
      <c r="M212" s="15" t="s">
        <v>99</v>
      </c>
      <c r="N212" s="14"/>
      <c r="O212" s="18" t="s">
        <v>81</v>
      </c>
      <c r="P212" s="14"/>
      <c r="Q212" s="14">
        <v>3</v>
      </c>
      <c r="R212" s="14"/>
      <c r="S212" s="19"/>
      <c r="T212" s="18"/>
      <c r="U212" s="20"/>
      <c r="V212" s="20"/>
      <c r="W212" s="20"/>
      <c r="X212" s="14"/>
      <c r="Y212" s="14"/>
    </row>
    <row r="213" spans="1:25" hidden="1">
      <c r="A213" s="14"/>
      <c r="B213" s="14"/>
      <c r="C213" s="14"/>
      <c r="D213" s="14"/>
      <c r="E213" s="14"/>
      <c r="F213" s="14"/>
      <c r="G213" s="14"/>
      <c r="H213" s="18" t="s">
        <v>98</v>
      </c>
      <c r="I213" s="16">
        <v>9</v>
      </c>
      <c r="J213" s="14"/>
      <c r="K213" s="15" t="s">
        <v>155</v>
      </c>
      <c r="L213" s="14"/>
      <c r="M213" s="15" t="s">
        <v>97</v>
      </c>
      <c r="N213" s="14"/>
      <c r="O213" s="18" t="s">
        <v>80</v>
      </c>
      <c r="P213" s="14"/>
      <c r="Q213" s="14">
        <v>4</v>
      </c>
      <c r="R213" s="14"/>
      <c r="S213" s="19"/>
      <c r="T213" s="18"/>
      <c r="U213" s="20"/>
      <c r="V213" s="20"/>
      <c r="W213" s="20"/>
      <c r="X213" s="14"/>
      <c r="Y213" s="14"/>
    </row>
    <row r="214" spans="1:25" hidden="1">
      <c r="A214" s="14"/>
      <c r="B214" s="14"/>
      <c r="C214" s="14"/>
      <c r="D214" s="14"/>
      <c r="E214" s="14"/>
      <c r="F214" s="14"/>
      <c r="G214" s="14"/>
      <c r="H214" s="18" t="s">
        <v>288</v>
      </c>
      <c r="I214" s="16">
        <v>10</v>
      </c>
      <c r="J214" s="14"/>
      <c r="K214" s="15" t="s">
        <v>287</v>
      </c>
      <c r="L214" s="14"/>
      <c r="M214" s="15" t="s">
        <v>96</v>
      </c>
      <c r="N214" s="14"/>
      <c r="O214" s="18"/>
      <c r="P214" s="14"/>
      <c r="Q214" s="14"/>
      <c r="R214" s="14"/>
      <c r="S214" s="19"/>
      <c r="T214" s="18"/>
      <c r="U214" s="20"/>
      <c r="V214" s="20"/>
      <c r="W214" s="20"/>
      <c r="X214" s="14"/>
      <c r="Y214" s="14"/>
    </row>
    <row r="215" spans="1:25" hidden="1">
      <c r="A215" s="14"/>
      <c r="B215" s="14"/>
      <c r="C215" s="14"/>
      <c r="D215" s="14"/>
      <c r="E215" s="14"/>
      <c r="F215" s="14"/>
      <c r="G215" s="14"/>
      <c r="H215" s="18" t="s">
        <v>150</v>
      </c>
      <c r="I215" s="16">
        <v>11</v>
      </c>
      <c r="J215" s="14"/>
      <c r="K215" s="15" t="s">
        <v>290</v>
      </c>
      <c r="L215" s="14"/>
      <c r="M215" s="15" t="s">
        <v>95</v>
      </c>
      <c r="N215" s="14"/>
      <c r="O215" s="18" t="s">
        <v>157</v>
      </c>
      <c r="P215" s="14"/>
      <c r="Q215" s="14">
        <v>4</v>
      </c>
      <c r="R215" s="14"/>
      <c r="S215" s="19"/>
      <c r="T215" s="18"/>
      <c r="U215" s="20"/>
      <c r="V215" s="20"/>
      <c r="W215" s="20"/>
      <c r="X215" s="14"/>
      <c r="Y215" s="14"/>
    </row>
    <row r="216" spans="1:25" hidden="1">
      <c r="A216" s="14"/>
      <c r="B216" s="14"/>
      <c r="C216" s="14"/>
      <c r="D216" s="14"/>
      <c r="E216" s="14"/>
      <c r="F216" s="14"/>
      <c r="G216" s="14"/>
      <c r="H216" s="18" t="s">
        <v>151</v>
      </c>
      <c r="I216" s="16">
        <v>12</v>
      </c>
      <c r="J216" s="14"/>
      <c r="K216" s="15" t="s">
        <v>291</v>
      </c>
      <c r="L216" s="14"/>
      <c r="M216" s="15" t="s">
        <v>93</v>
      </c>
      <c r="N216" s="14"/>
      <c r="O216" s="18" t="s">
        <v>79</v>
      </c>
      <c r="P216" s="14"/>
      <c r="Q216" s="14">
        <v>5</v>
      </c>
      <c r="R216" s="14"/>
      <c r="S216" s="19"/>
      <c r="T216" s="18"/>
      <c r="U216" s="20"/>
      <c r="V216" s="20"/>
      <c r="W216" s="20"/>
      <c r="X216" s="14"/>
      <c r="Y216" s="14"/>
    </row>
    <row r="217" spans="1:25" hidden="1">
      <c r="A217" s="14"/>
      <c r="B217" s="14"/>
      <c r="C217" s="14"/>
      <c r="D217" s="14"/>
      <c r="E217" s="14"/>
      <c r="F217" s="14"/>
      <c r="G217" s="14"/>
      <c r="H217" s="18" t="s">
        <v>94</v>
      </c>
      <c r="I217" s="16">
        <v>13</v>
      </c>
      <c r="J217" s="14"/>
      <c r="K217" s="15" t="s">
        <v>292</v>
      </c>
      <c r="L217" s="14"/>
      <c r="M217" s="15" t="s">
        <v>91</v>
      </c>
      <c r="N217" s="14"/>
      <c r="O217" s="18" t="s">
        <v>78</v>
      </c>
      <c r="P217" s="14"/>
      <c r="Q217" s="14">
        <v>6</v>
      </c>
      <c r="R217" s="14"/>
      <c r="S217" s="19"/>
      <c r="T217" s="18"/>
      <c r="U217" s="20"/>
      <c r="V217" s="20"/>
      <c r="W217" s="20"/>
      <c r="X217" s="14"/>
      <c r="Y217" s="14"/>
    </row>
    <row r="218" spans="1:25" hidden="1">
      <c r="A218" s="14"/>
      <c r="B218" s="14"/>
      <c r="C218" s="14"/>
      <c r="D218" s="14"/>
      <c r="E218" s="14"/>
      <c r="F218" s="14"/>
      <c r="G218" s="14"/>
      <c r="H218" s="18"/>
      <c r="I218" s="16">
        <v>14</v>
      </c>
      <c r="J218" s="14"/>
      <c r="K218" s="15" t="s">
        <v>314</v>
      </c>
      <c r="L218" s="14"/>
      <c r="M218" s="15" t="s">
        <v>89</v>
      </c>
      <c r="N218" s="14"/>
      <c r="O218" s="18"/>
      <c r="P218" s="14"/>
      <c r="Q218" s="14"/>
      <c r="R218" s="14"/>
      <c r="S218" s="19"/>
      <c r="T218" s="18"/>
      <c r="U218" s="20"/>
      <c r="V218" s="20"/>
      <c r="W218" s="20"/>
      <c r="X218" s="14"/>
      <c r="Y218" s="14"/>
    </row>
    <row r="219" spans="1:25" hidden="1">
      <c r="A219" s="14"/>
      <c r="B219" s="14"/>
      <c r="C219" s="14"/>
      <c r="D219" s="14"/>
      <c r="E219" s="14"/>
      <c r="F219" s="14"/>
      <c r="G219" s="14"/>
      <c r="H219" s="18"/>
      <c r="I219" s="16">
        <v>15</v>
      </c>
      <c r="J219" s="14"/>
      <c r="K219" s="15" t="s">
        <v>315</v>
      </c>
      <c r="L219" s="14"/>
      <c r="M219" s="15" t="s">
        <v>289</v>
      </c>
      <c r="N219" s="14"/>
      <c r="O219" s="18"/>
      <c r="P219" s="14"/>
      <c r="Q219" s="14"/>
      <c r="R219" s="14"/>
      <c r="S219" s="19"/>
      <c r="T219" s="18"/>
      <c r="U219" s="20"/>
      <c r="V219" s="20"/>
      <c r="W219" s="20"/>
      <c r="X219" s="14"/>
      <c r="Y219" s="14"/>
    </row>
    <row r="220" spans="1:25" hidden="1">
      <c r="A220" s="14"/>
      <c r="B220" s="14"/>
      <c r="C220" s="14"/>
      <c r="D220" s="14"/>
      <c r="E220" s="14"/>
      <c r="F220" s="14"/>
      <c r="G220" s="14"/>
      <c r="H220" s="18" t="s">
        <v>92</v>
      </c>
      <c r="I220" s="16">
        <v>16</v>
      </c>
      <c r="J220" s="14"/>
      <c r="K220" s="15" t="s">
        <v>310</v>
      </c>
      <c r="L220" s="14"/>
      <c r="M220" s="15" t="s">
        <v>312</v>
      </c>
      <c r="N220" s="14"/>
      <c r="O220" s="18" t="s">
        <v>156</v>
      </c>
      <c r="P220" s="14"/>
      <c r="Q220" s="14">
        <v>7</v>
      </c>
      <c r="R220" s="14"/>
      <c r="S220" s="19"/>
      <c r="T220" s="18"/>
      <c r="U220" s="20"/>
      <c r="V220" s="20"/>
      <c r="W220" s="20"/>
      <c r="X220" s="14"/>
      <c r="Y220" s="14"/>
    </row>
    <row r="221" spans="1:25" ht="15" hidden="1">
      <c r="A221" s="14"/>
      <c r="B221" s="17" t="s">
        <v>50</v>
      </c>
      <c r="C221" s="14"/>
      <c r="D221" s="17" t="s">
        <v>51</v>
      </c>
      <c r="E221" s="14"/>
      <c r="F221" s="14"/>
      <c r="G221" s="14"/>
      <c r="H221" s="18" t="s">
        <v>90</v>
      </c>
      <c r="I221" s="16">
        <v>17</v>
      </c>
      <c r="J221" s="14"/>
      <c r="K221" s="15" t="s">
        <v>311</v>
      </c>
      <c r="L221" s="14"/>
      <c r="M221" s="15" t="s">
        <v>313</v>
      </c>
      <c r="N221" s="14"/>
      <c r="O221" s="18" t="s">
        <v>74</v>
      </c>
      <c r="P221" s="14"/>
      <c r="Q221" s="14">
        <v>8</v>
      </c>
      <c r="R221" s="14"/>
      <c r="S221" s="19"/>
      <c r="T221" s="18"/>
      <c r="U221" s="20"/>
      <c r="V221" s="20"/>
      <c r="W221" s="20"/>
      <c r="X221" s="14"/>
      <c r="Y221" s="14"/>
    </row>
    <row r="222" spans="1:25" hidden="1">
      <c r="A222" s="14"/>
      <c r="B222" s="14" t="str">
        <f>IF(OR(C13=B204,C13=B212),"0",IF(C13=B205,"1",IF(C13=B206,"16",IF(C13=B207,"4",IF(C13=B208,"14",IF(C13=B209,"14",IF(C13=B210,"16","")))))))</f>
        <v/>
      </c>
      <c r="C222" s="14"/>
      <c r="D222" s="14" t="str">
        <f>IF(OR(E13=B204,E13=B212),"0",IF(E13=B205,"1",IF(E13=B206,"16",IF(E13=B207,"4",IF(E13=B208,"14",IF(E13=B209,"14",IF(E13=B210,"16",IF(E13=B211,"8",""))))))))</f>
        <v/>
      </c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8" t="s">
        <v>71</v>
      </c>
      <c r="P222" s="14"/>
      <c r="Q222" s="14">
        <v>9</v>
      </c>
      <c r="R222" s="14"/>
      <c r="S222" s="19"/>
      <c r="T222" s="18"/>
      <c r="U222" s="20"/>
      <c r="V222" s="20"/>
      <c r="W222" s="20"/>
      <c r="X222" s="14"/>
      <c r="Y222" s="14"/>
    </row>
    <row r="223" spans="1:25" ht="15" hidden="1">
      <c r="A223" s="14"/>
      <c r="B223" s="14" t="str">
        <f>IF(B222="1",K205,IF(B222="16",K220,IF(B222="0",H204,IF(B222="14",K218,IF(B222="4",K218,"")))))</f>
        <v/>
      </c>
      <c r="C223" s="14"/>
      <c r="D223" s="14" t="str">
        <f>IF($D$222="1",K205,IF(D222="14",K218,IF(D222="0",H204,IF(D222="8",I204,IF(D222="16",K220,IF(D222="4",K218,""))))))</f>
        <v/>
      </c>
      <c r="E223" s="14"/>
      <c r="F223" s="14"/>
      <c r="G223" s="14"/>
      <c r="H223" s="17" t="s">
        <v>50</v>
      </c>
      <c r="I223" s="14">
        <v>100</v>
      </c>
      <c r="J223" s="129" t="s">
        <v>51</v>
      </c>
      <c r="K223" s="14"/>
      <c r="L223" s="14"/>
      <c r="M223" s="14"/>
      <c r="N223" s="14"/>
      <c r="O223" s="18" t="s">
        <v>68</v>
      </c>
      <c r="P223" s="14"/>
      <c r="Q223" s="14">
        <v>10</v>
      </c>
      <c r="R223" s="14"/>
      <c r="S223" s="19"/>
      <c r="T223" s="18"/>
      <c r="U223" s="20"/>
      <c r="V223" s="20"/>
      <c r="W223" s="20"/>
      <c r="X223" s="14"/>
      <c r="Y223" s="14"/>
    </row>
    <row r="224" spans="1:25" hidden="1">
      <c r="A224" s="14"/>
      <c r="B224" s="14" t="str">
        <f>IF($B$222="1",K206,IF(B222="14",K219,IF(B222="4",K219,"")))</f>
        <v/>
      </c>
      <c r="C224" s="14"/>
      <c r="D224" s="14" t="str">
        <f>IF($D$222="1",K206,IF(D222="14",K219,IF(D222="4",K219,"")))</f>
        <v/>
      </c>
      <c r="E224" s="14"/>
      <c r="F224" s="14"/>
      <c r="G224" s="14" t="s">
        <v>250</v>
      </c>
      <c r="H224" s="14" t="str">
        <f>IF(C40=H204,J205,IF(C40=K205,I205,IF(C40=K206,I206,IF(C40=K207,I207,IF(C40=K208,I208,IF(C40=K209,I209,IF(C40=K210,I210,IF(C40=K211,I211,IF(C40=K212,I212,IF(C40=K213,I213,IF(C40=K214,I214,IF(C40=K215,I215,IF(C40=K216,I216,IF(C40=K217,I217,IF(C40=K220,I220,IF(C40=K221,I221,IF(C40=K218,I218,IF(C40=K219,I219,""))))))))))))))))))</f>
        <v/>
      </c>
      <c r="I224" s="14"/>
      <c r="J224" s="130" t="str">
        <f>IF(E40=H204,J205,IF(E40=K205,I205,IF(E40=K206,I206,IF(E40=K207,I207,IF(E40=K208,I208,IF(E40=K209,I209,IF(E40=K210,I210,IF(E40=K211,I211,IF(E40=K212,I212,IF(E40=K213,I213,IF(E40=K214,I214,IF(E40=K215,I215,IF(E40=K216,I216,IF(E40=K217,I217,IF(E40=K220,I220,IF(E40=K221,I221,IF(E40=I204,J206,IF(E40=K218,I218,IF(E40=K219,I219,"")))))))))))))))))))</f>
        <v/>
      </c>
      <c r="K224" s="14"/>
      <c r="L224" s="14"/>
      <c r="M224" s="14"/>
      <c r="N224" s="14"/>
      <c r="O224" s="18" t="s">
        <v>67</v>
      </c>
      <c r="P224" s="14"/>
      <c r="Q224" s="14">
        <v>11</v>
      </c>
      <c r="R224" s="14"/>
      <c r="S224" s="19"/>
      <c r="T224" s="18"/>
      <c r="U224" s="20"/>
      <c r="V224" s="20"/>
      <c r="W224" s="20"/>
      <c r="X224" s="14"/>
      <c r="Y224" s="14"/>
    </row>
    <row r="225" spans="1:25" hidden="1">
      <c r="A225" s="14"/>
      <c r="B225" s="14" t="str">
        <f>IF($B$222="1",K207,IF(B222="4",K220,""))</f>
        <v/>
      </c>
      <c r="C225" s="14"/>
      <c r="D225" s="14" t="str">
        <f>IF($D$222="1",K207,IF(D222="4",K220,""))</f>
        <v/>
      </c>
      <c r="E225" s="14"/>
      <c r="F225" s="14" t="s">
        <v>251</v>
      </c>
      <c r="H225" s="14" t="str">
        <f>IF(C41=O205,(H224*I223)+Q205,IF(C41=O207,(H224*I223)+Q207,IF(C41=O206,(H224*I223)+Q206,IF(C41=O208,(H224*I223)+Q208,IF(C41=O209,(H224*I223)+Q209,IF(C41=O210,(H224*I223)+Q210,IF(C41=O211,(H224*I223)+Q211,IF(C41=O212,(H224*I223)+Q212,IF(C41=O213,(H224*I223)+Q213,IF(C41=O215,(H224*I223)+Q215,IF(C41=O216,(H224*I223)+Q216,IF(C41=O217,(H224*I223)+Q217,IF(C41=O220,(H224*I223)+Q220,IF(C41=O221,(H224*I223)+Q221,IF(C41=O222,(H224*I223)+Q222,IF(C41=O223,(H224*I223)+Q223,IF(C41=O224,(H224*I223)+Q224,IF(C41=O225,(H224*I223)+Q225,IF(C41=O226,(H224*I223)+Q226,IF(C41=O227,(H224*I223)+Q227,IF(C41=O228,(H224*I223)+Q228,IF(C41=O229,(H224*I223)+Q229,IF(C41=O230,(H224*I223)+Q230,IF(C41=O231,(H224*I223)+Q231,IF(C41=O232,(H224*I223)+Q232,IF(C41=O233,(H224*I223)+Q233,IF(C41=O234,(H224*I223)+Q234,"")))))))))))))))))))))))))))</f>
        <v/>
      </c>
      <c r="I225" s="14"/>
      <c r="J225" s="130" t="str">
        <f>IF(E41=O205,(J224*I223)+Q205,IF(E41=O207,(J224*I223)+Q207,IF(E41=O206,(J224*I223)+Q206,IF(E41=O208,(J224*I223)+Q208,IF(E41=O209,(J224*I223)+Q209,IF(E41=O210,(J224*I223)+Q210,IF(E41=O211,(J224*I223)+Q211,IF(E41=O212,(J224*I223)+Q212,IF(E41=O213,(J224*I223)+Q213,IF(E41=O215,(J224*I223)+Q215,IF(E41=O216,(J224*I223)+Q216,IF(E41=O217,(J224*I223)+Q217,IF(E41=O220,(J224*I223)+Q220,IF(E41=O221,(J224*I223)+Q221,IF(E41=O222,(J224*I223)+Q222,IF(E41=O223,(J224*I223)+Q223,IF(E41=O224,(J224*I223)+Q224,IF(E41=O225,(J224*I223)+Q225,IF(E41=O226,(J224*I223)+Q226,IF(E41=O227,(J224*I223)+Q227,IF(E41=O228,(J224*I223)+Q228,IF(E41=O229,(J224*I223)+Q229,IF(E41=O230,(J224*I223)+Q230,IF(E41=O231,(J224*I223)+Q231,IF(E41=O232,(J224*I223)+Q232,IF(E41=O233,(J224*I223)+Q233,IF(E41=O234,(J224*I223)+Q234,"")))))))))))))))))))))))))))</f>
        <v/>
      </c>
      <c r="K225" s="14"/>
      <c r="L225" s="14"/>
      <c r="M225" s="14"/>
      <c r="N225" s="14"/>
      <c r="O225" s="18" t="s">
        <v>66</v>
      </c>
      <c r="P225" s="14"/>
      <c r="Q225" s="14">
        <v>12</v>
      </c>
      <c r="R225" s="14"/>
      <c r="S225" s="19"/>
      <c r="T225" s="18"/>
      <c r="U225" s="20"/>
      <c r="V225" s="20"/>
      <c r="W225" s="20"/>
      <c r="X225" s="14"/>
      <c r="Y225" s="14"/>
    </row>
    <row r="226" spans="1:25" hidden="1">
      <c r="A226" s="14"/>
      <c r="B226" s="14" t="str">
        <f t="shared" ref="B226:B235" si="2">IF($B$222="1",K208,"")</f>
        <v/>
      </c>
      <c r="C226" s="14"/>
      <c r="D226" s="14" t="str">
        <f t="shared" ref="D226:D235" si="3">IF($D$222="1",K208,"")</f>
        <v/>
      </c>
      <c r="E226" s="14"/>
      <c r="F226" s="14"/>
      <c r="G226" s="14"/>
      <c r="H226" s="14" t="str">
        <f>IF($H$224=J205,H204,IF($H$224=I205,O205,IF(H224=I206,O205,IF(H224=I207,O205,IF(H224=I208,O205,IF(H224=I209,O205,IF(H224=I210,O205,IF(H224=I211,O205,IF(H224=I212,O205,IF(H224=I213,O205,IF(H224=I214,O205,IF(H224=I215,O205,IF(H224=I216,O205,IF(H224=I217,O205,IF(H224=I220,O207,IF(H224=I221,O205,""))))))))))))))))</f>
        <v/>
      </c>
      <c r="I226" s="14"/>
      <c r="J226" s="130" t="str">
        <f>IF($J$224=J205,H204,IF($J$224=I205,O205,IF(J224=I206,O205,IF(J224=I207,O205,IF(J224=I208,O205,IF(J224=I209,O205,IF(J224=I210,O205,IF(J224=I211,O205,IF(J224=I212,O205,IF(J224=I213,O205,IF(J224=I214,O205,IF(J224=I215,O205,IF(J224=I216,O205,IF(J224=I217,O205,IF(J224=I220,O207,IF(J224=I221,O205,IF(J224=J206,I204,"")))))))))))))))))</f>
        <v/>
      </c>
      <c r="K226" s="14"/>
      <c r="L226" s="14"/>
      <c r="M226" s="14"/>
      <c r="N226" s="14"/>
      <c r="O226" s="18" t="s">
        <v>65</v>
      </c>
      <c r="P226" s="14"/>
      <c r="Q226" s="14">
        <v>13</v>
      </c>
      <c r="R226" s="14"/>
      <c r="S226" s="19"/>
      <c r="T226" s="18"/>
      <c r="U226" s="20"/>
      <c r="V226" s="20"/>
      <c r="W226" s="20"/>
      <c r="X226" s="14"/>
      <c r="Y226" s="14"/>
    </row>
    <row r="227" spans="1:25" hidden="1">
      <c r="A227" s="14"/>
      <c r="B227" s="14" t="str">
        <f t="shared" si="2"/>
        <v/>
      </c>
      <c r="C227" s="14"/>
      <c r="D227" s="14" t="str">
        <f t="shared" si="3"/>
        <v/>
      </c>
      <c r="E227" s="14"/>
      <c r="F227" s="14"/>
      <c r="G227" s="14"/>
      <c r="H227" s="14" t="str">
        <f>IF($H$224=1,O206,IF($H$224=2," ",IF($H$224=3,O206,IF($H$224&lt;10," ",IF($H$224&lt;14,O206,IF($H$224=16,O208,IF(H224=I221,O206,"")))))))</f>
        <v/>
      </c>
      <c r="I227" s="14"/>
      <c r="J227" s="130" t="str">
        <f>IF($J$224=1,O206,IF($J$224=2," ",IF($J$224=3,O206,IF($J$224&lt;10," ",IF($J$224&lt;14,O206,IF($J$224=16,O208,IF(J224=I221,O206,"")))))))</f>
        <v/>
      </c>
      <c r="K227" s="14"/>
      <c r="L227" s="14"/>
      <c r="M227" s="14"/>
      <c r="N227" s="14"/>
      <c r="O227" s="18" t="s">
        <v>64</v>
      </c>
      <c r="P227" s="14"/>
      <c r="Q227" s="14">
        <v>14</v>
      </c>
      <c r="R227" s="14"/>
      <c r="S227" s="19"/>
      <c r="T227" s="18"/>
      <c r="U227" s="20"/>
      <c r="V227" s="20"/>
      <c r="W227" s="20"/>
      <c r="X227" s="14"/>
      <c r="Y227" s="14"/>
    </row>
    <row r="228" spans="1:25" hidden="1">
      <c r="A228" s="14"/>
      <c r="B228" s="14" t="str">
        <f t="shared" si="2"/>
        <v/>
      </c>
      <c r="C228" s="14"/>
      <c r="D228" s="14" t="str">
        <f t="shared" si="3"/>
        <v/>
      </c>
      <c r="E228" s="14"/>
      <c r="F228" s="14"/>
      <c r="G228" s="14"/>
      <c r="H228" s="14" t="str">
        <f>IF($H$224=16,O209,"")</f>
        <v/>
      </c>
      <c r="I228" s="14"/>
      <c r="J228" s="130" t="str">
        <f>IF($J$224=16,O209,"")</f>
        <v/>
      </c>
      <c r="K228" s="14"/>
      <c r="L228" s="14"/>
      <c r="M228" s="14"/>
      <c r="N228" s="14"/>
      <c r="O228" s="18" t="s">
        <v>63</v>
      </c>
      <c r="P228" s="14"/>
      <c r="Q228" s="14">
        <v>15</v>
      </c>
      <c r="R228" s="14"/>
      <c r="S228" s="19"/>
      <c r="T228" s="18"/>
      <c r="U228" s="20"/>
      <c r="V228" s="20"/>
      <c r="W228" s="20"/>
      <c r="X228" s="14"/>
      <c r="Y228" s="14"/>
    </row>
    <row r="229" spans="1:25" hidden="1">
      <c r="A229" s="14"/>
      <c r="B229" s="14" t="str">
        <f t="shared" si="2"/>
        <v/>
      </c>
      <c r="C229" s="14"/>
      <c r="D229" s="14" t="str">
        <f t="shared" si="3"/>
        <v/>
      </c>
      <c r="E229" s="14"/>
      <c r="F229" s="14"/>
      <c r="G229" s="14"/>
      <c r="H229" s="14" t="str">
        <f>IF($H$224=14,O210,IF(H224=15,O210,""))</f>
        <v/>
      </c>
      <c r="I229" s="14"/>
      <c r="J229" s="130" t="str">
        <f>IF($J$224=14,O210,IF(J224=15,O210,""))</f>
        <v/>
      </c>
      <c r="K229" s="14"/>
      <c r="L229" s="14"/>
      <c r="M229" s="14"/>
      <c r="N229" s="14"/>
      <c r="O229" s="18" t="s">
        <v>62</v>
      </c>
      <c r="P229" s="14"/>
      <c r="Q229" s="14">
        <v>16</v>
      </c>
      <c r="R229" s="14"/>
      <c r="S229" s="19"/>
      <c r="T229" s="18"/>
      <c r="U229" s="20"/>
      <c r="V229" s="20"/>
      <c r="W229" s="20"/>
      <c r="X229" s="14"/>
      <c r="Y229" s="14"/>
    </row>
    <row r="230" spans="1:25" hidden="1">
      <c r="A230" s="14"/>
      <c r="B230" s="14" t="str">
        <f t="shared" si="2"/>
        <v/>
      </c>
      <c r="C230" s="14"/>
      <c r="D230" s="14" t="str">
        <f t="shared" si="3"/>
        <v/>
      </c>
      <c r="E230" s="14"/>
      <c r="F230" s="14"/>
      <c r="G230" s="14"/>
      <c r="H230" s="14" t="str">
        <f>IF($H$224=14,O211,IF(H224=15,O211,""))</f>
        <v/>
      </c>
      <c r="I230" s="14"/>
      <c r="J230" s="130" t="str">
        <f>IF($J$224=14,O211,IF(J224=15,O211,""))</f>
        <v/>
      </c>
      <c r="K230" s="14"/>
      <c r="L230" s="14"/>
      <c r="M230" s="14"/>
      <c r="N230" s="14"/>
      <c r="O230" s="18" t="s">
        <v>61</v>
      </c>
      <c r="P230" s="14"/>
      <c r="Q230" s="14">
        <v>5</v>
      </c>
      <c r="R230" s="14"/>
      <c r="S230" s="19"/>
      <c r="T230" s="18"/>
      <c r="U230" s="20"/>
      <c r="V230" s="20"/>
      <c r="W230" s="20"/>
      <c r="X230" s="14"/>
      <c r="Y230" s="14"/>
    </row>
    <row r="231" spans="1:25" hidden="1">
      <c r="A231" s="14"/>
      <c r="B231" s="14" t="str">
        <f t="shared" si="2"/>
        <v/>
      </c>
      <c r="C231" s="14"/>
      <c r="D231" s="14" t="str">
        <f t="shared" si="3"/>
        <v/>
      </c>
      <c r="E231" s="14"/>
      <c r="F231" s="14"/>
      <c r="G231" s="14"/>
      <c r="H231" s="14" t="str">
        <f>IF($H$224=14,O212,IF(H224=15,O212,""))</f>
        <v/>
      </c>
      <c r="I231" s="14"/>
      <c r="J231" s="130" t="str">
        <f>IF($J$224=14,O212,IF(J224=15,O212,""))</f>
        <v/>
      </c>
      <c r="K231" s="14"/>
      <c r="L231" s="14"/>
      <c r="M231" s="14"/>
      <c r="N231" s="14"/>
      <c r="O231" s="18" t="s">
        <v>60</v>
      </c>
      <c r="P231" s="14"/>
      <c r="Q231" s="14">
        <v>17</v>
      </c>
      <c r="R231" s="14"/>
      <c r="S231" s="19"/>
      <c r="T231" s="18"/>
      <c r="U231" s="20"/>
      <c r="V231" s="20"/>
      <c r="W231" s="20"/>
      <c r="X231" s="14"/>
      <c r="Y231" s="14"/>
    </row>
    <row r="232" spans="1:25" hidden="1">
      <c r="A232" s="14"/>
      <c r="B232" s="14" t="str">
        <f t="shared" si="2"/>
        <v/>
      </c>
      <c r="C232" s="14"/>
      <c r="D232" s="14" t="str">
        <f t="shared" si="3"/>
        <v/>
      </c>
      <c r="E232" s="14"/>
      <c r="F232" s="14"/>
      <c r="G232" s="14"/>
      <c r="H232" s="14" t="str">
        <f>IF($H$224=14,O213,IF(H224=15,O213,""))</f>
        <v/>
      </c>
      <c r="I232" s="14"/>
      <c r="J232" s="130" t="str">
        <f>IF($J$224=14,O213,IF(J224=15,O213,""))</f>
        <v/>
      </c>
      <c r="K232" s="14"/>
      <c r="L232" s="14"/>
      <c r="M232" s="14"/>
      <c r="N232" s="14"/>
      <c r="O232" s="18" t="s">
        <v>59</v>
      </c>
      <c r="P232" s="14"/>
      <c r="Q232" s="14">
        <v>18</v>
      </c>
      <c r="R232" s="14"/>
      <c r="S232" s="19"/>
      <c r="T232" s="18"/>
      <c r="U232" s="20"/>
      <c r="V232" s="20"/>
      <c r="W232" s="20"/>
      <c r="X232" s="14"/>
      <c r="Y232" s="14"/>
    </row>
    <row r="233" spans="1:25" hidden="1">
      <c r="A233" s="14"/>
      <c r="B233" s="14" t="str">
        <f t="shared" si="2"/>
        <v/>
      </c>
      <c r="C233" s="14"/>
      <c r="D233" s="14" t="str">
        <f t="shared" si="3"/>
        <v/>
      </c>
      <c r="E233" s="14"/>
      <c r="F233" s="14"/>
      <c r="G233" s="14"/>
      <c r="H233" s="14" t="str">
        <f>IF($H$224=16,O215,IF($H$224=14,O230,IF($H$224=15,O230,"")))</f>
        <v/>
      </c>
      <c r="I233" s="14"/>
      <c r="J233" s="130" t="str">
        <f>IF($J$224=16,O215,IF($J$224=14,O230,IF($J$224=15,O230,"")))</f>
        <v/>
      </c>
      <c r="K233" s="14"/>
      <c r="L233" s="14"/>
      <c r="M233" s="14"/>
      <c r="N233" s="14"/>
      <c r="O233" s="18" t="s">
        <v>58</v>
      </c>
      <c r="P233" s="14"/>
      <c r="Q233" s="14">
        <v>19</v>
      </c>
      <c r="R233" s="14"/>
      <c r="S233" s="19"/>
      <c r="T233" s="18"/>
      <c r="U233" s="20"/>
      <c r="V233" s="20"/>
      <c r="W233" s="20"/>
      <c r="X233" s="14"/>
      <c r="Y233" s="14"/>
    </row>
    <row r="234" spans="1:25" hidden="1">
      <c r="A234" s="14"/>
      <c r="B234" s="14" t="str">
        <f t="shared" si="2"/>
        <v/>
      </c>
      <c r="C234" s="14"/>
      <c r="D234" s="14" t="str">
        <f t="shared" si="3"/>
        <v/>
      </c>
      <c r="E234" s="14"/>
      <c r="F234" s="14"/>
      <c r="G234" s="14"/>
      <c r="H234" s="14" t="str">
        <f>IF($H$224=16,O216,"")</f>
        <v/>
      </c>
      <c r="I234" s="14"/>
      <c r="J234" s="130" t="str">
        <f>IF($J$224=16,O216,"")</f>
        <v/>
      </c>
      <c r="K234" s="14"/>
      <c r="L234" s="14"/>
      <c r="M234" s="14"/>
      <c r="N234" s="14"/>
      <c r="O234" s="131" t="s">
        <v>57</v>
      </c>
      <c r="P234" s="14"/>
      <c r="Q234" s="14">
        <v>20</v>
      </c>
      <c r="R234" s="14"/>
      <c r="S234" s="19"/>
      <c r="T234" s="18"/>
      <c r="U234" s="20"/>
      <c r="V234" s="20"/>
      <c r="W234" s="20"/>
      <c r="X234" s="14"/>
      <c r="Y234" s="14"/>
    </row>
    <row r="235" spans="1:25" hidden="1">
      <c r="A235" s="14"/>
      <c r="B235" s="14" t="str">
        <f t="shared" si="2"/>
        <v/>
      </c>
      <c r="C235" s="14"/>
      <c r="D235" s="14" t="str">
        <f t="shared" si="3"/>
        <v/>
      </c>
      <c r="E235" s="14"/>
      <c r="F235" s="14"/>
      <c r="G235" s="14"/>
      <c r="H235" s="14" t="str">
        <f>IF($H$224=16,O217,"")</f>
        <v/>
      </c>
      <c r="I235" s="14"/>
      <c r="J235" s="130" t="str">
        <f>IF($J$224=16,O217,"")</f>
        <v/>
      </c>
      <c r="K235" s="14"/>
      <c r="L235" s="14"/>
      <c r="M235" s="14"/>
      <c r="N235" s="14"/>
      <c r="O235" s="132"/>
      <c r="P235" s="14"/>
      <c r="R235" s="14"/>
      <c r="S235" s="19"/>
      <c r="T235" s="18"/>
      <c r="U235" s="20"/>
      <c r="V235" s="20"/>
      <c r="W235" s="20"/>
      <c r="X235" s="14"/>
      <c r="Y235" s="14"/>
    </row>
    <row r="236" spans="1:25" hidden="1">
      <c r="A236" s="14"/>
      <c r="B236" s="14" t="str">
        <f>IF($B$222="1",K221,"")</f>
        <v/>
      </c>
      <c r="C236" s="14"/>
      <c r="D236" s="14" t="str">
        <f>IF($D$222="1",K221,"")</f>
        <v/>
      </c>
      <c r="E236" s="14"/>
      <c r="F236" s="14"/>
      <c r="G236" s="14"/>
      <c r="H236" s="14" t="str">
        <f t="shared" ref="H236:H245" si="4">IF($H$224=16,O220,"")</f>
        <v/>
      </c>
      <c r="I236" s="14"/>
      <c r="J236" s="130" t="str">
        <f t="shared" ref="J236:J245" si="5">IF($J$224=16,O220,"")</f>
        <v/>
      </c>
      <c r="K236" s="14"/>
      <c r="L236" s="14"/>
      <c r="M236" s="14"/>
      <c r="N236" s="14"/>
      <c r="O236" s="132"/>
      <c r="P236" s="14"/>
      <c r="Q236" s="14"/>
      <c r="R236" s="14"/>
      <c r="S236" s="19"/>
      <c r="T236" s="18"/>
      <c r="U236" s="20"/>
      <c r="V236" s="20"/>
      <c r="W236" s="20"/>
      <c r="X236" s="14"/>
      <c r="Y236" s="14"/>
    </row>
    <row r="237" spans="1:25" hidden="1">
      <c r="A237" s="14"/>
      <c r="B237" s="14"/>
      <c r="C237" s="14"/>
      <c r="D237" s="14"/>
      <c r="E237" s="14"/>
      <c r="F237" s="14"/>
      <c r="G237" s="14"/>
      <c r="H237" s="14" t="str">
        <f t="shared" si="4"/>
        <v/>
      </c>
      <c r="I237" s="14"/>
      <c r="J237" s="130" t="str">
        <f t="shared" si="5"/>
        <v/>
      </c>
      <c r="K237" s="14"/>
      <c r="L237" s="14"/>
      <c r="M237" s="14"/>
      <c r="N237" s="14"/>
      <c r="O237" s="14"/>
      <c r="P237" s="14"/>
      <c r="Q237" s="14"/>
      <c r="R237" s="14"/>
      <c r="S237" s="19"/>
      <c r="T237" s="18"/>
      <c r="U237" s="20"/>
      <c r="V237" s="20"/>
      <c r="W237" s="20"/>
      <c r="X237" s="14"/>
      <c r="Y237" s="14"/>
    </row>
    <row r="238" spans="1:25" hidden="1">
      <c r="A238" s="14"/>
      <c r="B238" s="14"/>
      <c r="C238" s="14"/>
      <c r="D238" s="14"/>
      <c r="E238" s="14"/>
      <c r="F238" s="14"/>
      <c r="G238" s="14"/>
      <c r="H238" s="14" t="str">
        <f t="shared" si="4"/>
        <v/>
      </c>
      <c r="I238" s="14"/>
      <c r="J238" s="130" t="str">
        <f t="shared" si="5"/>
        <v/>
      </c>
      <c r="K238" s="14"/>
      <c r="L238" s="14"/>
      <c r="M238" s="14"/>
      <c r="N238" s="14"/>
      <c r="O238" s="14"/>
      <c r="P238" s="14"/>
      <c r="Q238" s="14"/>
      <c r="R238" s="14"/>
      <c r="S238" s="19"/>
      <c r="T238" s="18"/>
      <c r="U238" s="20"/>
      <c r="V238" s="20"/>
      <c r="W238" s="20"/>
      <c r="X238" s="14"/>
      <c r="Y238" s="14"/>
    </row>
    <row r="239" spans="1:25" hidden="1">
      <c r="A239" s="14"/>
      <c r="B239" s="14"/>
      <c r="C239" s="14"/>
      <c r="D239" s="14"/>
      <c r="E239" s="14"/>
      <c r="F239" s="14"/>
      <c r="G239" s="14"/>
      <c r="H239" s="14" t="str">
        <f t="shared" si="4"/>
        <v/>
      </c>
      <c r="I239" s="14"/>
      <c r="J239" s="130" t="str">
        <f t="shared" si="5"/>
        <v/>
      </c>
      <c r="K239" s="14"/>
      <c r="L239" s="14"/>
      <c r="M239" s="14"/>
      <c r="N239" s="14"/>
      <c r="O239" s="14"/>
      <c r="P239" s="14"/>
      <c r="Q239" s="14"/>
      <c r="R239" s="14"/>
      <c r="S239" s="19"/>
      <c r="T239" s="18"/>
      <c r="U239" s="20"/>
      <c r="V239" s="20"/>
      <c r="W239" s="20"/>
      <c r="X239" s="14"/>
      <c r="Y239" s="14"/>
    </row>
    <row r="240" spans="1:25" hidden="1">
      <c r="A240" s="14"/>
      <c r="B240" s="14"/>
      <c r="C240" s="14"/>
      <c r="D240" s="14"/>
      <c r="E240" s="14"/>
      <c r="F240" s="14"/>
      <c r="G240" s="14"/>
      <c r="H240" s="14" t="str">
        <f t="shared" si="4"/>
        <v/>
      </c>
      <c r="I240" s="14"/>
      <c r="J240" s="130" t="str">
        <f t="shared" si="5"/>
        <v/>
      </c>
      <c r="K240" s="14"/>
      <c r="L240" s="14"/>
      <c r="M240" s="14"/>
      <c r="N240" s="14"/>
      <c r="O240" s="14"/>
      <c r="P240" s="14"/>
      <c r="Q240" s="14"/>
      <c r="R240" s="14"/>
      <c r="S240" s="19"/>
      <c r="T240" s="18"/>
      <c r="U240" s="20"/>
      <c r="V240" s="20"/>
      <c r="W240" s="20"/>
      <c r="X240" s="14"/>
      <c r="Y240" s="14"/>
    </row>
    <row r="241" spans="1:25" hidden="1">
      <c r="A241" s="14"/>
      <c r="B241" s="14"/>
      <c r="C241" s="14"/>
      <c r="D241" s="14"/>
      <c r="E241" s="14"/>
      <c r="F241" s="14"/>
      <c r="G241" s="14"/>
      <c r="H241" s="14" t="str">
        <f t="shared" si="4"/>
        <v/>
      </c>
      <c r="I241" s="14"/>
      <c r="J241" s="130" t="str">
        <f t="shared" si="5"/>
        <v/>
      </c>
      <c r="K241" s="14"/>
      <c r="L241" s="14"/>
      <c r="M241" s="14"/>
      <c r="N241" s="14"/>
      <c r="O241" s="14"/>
      <c r="P241" s="14"/>
      <c r="Q241" s="14"/>
      <c r="R241" s="14"/>
      <c r="S241" s="19"/>
      <c r="T241" s="18"/>
      <c r="U241" s="20"/>
      <c r="V241" s="20"/>
      <c r="W241" s="20"/>
      <c r="X241" s="14"/>
      <c r="Y241" s="14"/>
    </row>
    <row r="242" spans="1:25" hidden="1">
      <c r="A242" s="14"/>
      <c r="B242" s="14"/>
      <c r="C242" s="14"/>
      <c r="D242" s="14"/>
      <c r="E242" s="14"/>
      <c r="F242" s="14"/>
      <c r="G242" s="14"/>
      <c r="H242" s="14" t="str">
        <f t="shared" si="4"/>
        <v/>
      </c>
      <c r="I242" s="14"/>
      <c r="J242" s="130" t="str">
        <f t="shared" si="5"/>
        <v/>
      </c>
      <c r="K242" s="14"/>
      <c r="L242" s="14"/>
      <c r="M242" s="14"/>
      <c r="N242" s="14"/>
      <c r="O242" s="14"/>
      <c r="P242" s="14"/>
      <c r="Q242" s="14"/>
      <c r="R242" s="14"/>
      <c r="S242" s="19"/>
      <c r="T242" s="18"/>
      <c r="U242" s="20"/>
      <c r="V242" s="20"/>
      <c r="W242" s="20"/>
      <c r="X242" s="14"/>
      <c r="Y242" s="14"/>
    </row>
    <row r="243" spans="1:25" hidden="1">
      <c r="A243" s="14"/>
      <c r="B243" s="14"/>
      <c r="C243" s="14"/>
      <c r="D243" s="14"/>
      <c r="E243" s="14"/>
      <c r="F243" s="14"/>
      <c r="G243" s="14"/>
      <c r="H243" s="14" t="str">
        <f t="shared" si="4"/>
        <v/>
      </c>
      <c r="I243" s="14"/>
      <c r="J243" s="130" t="str">
        <f t="shared" si="5"/>
        <v/>
      </c>
      <c r="K243" s="14"/>
      <c r="L243" s="14"/>
      <c r="M243" s="14"/>
      <c r="N243" s="14"/>
      <c r="O243" s="14"/>
      <c r="P243" s="14"/>
      <c r="Q243" s="14"/>
      <c r="R243" s="14"/>
      <c r="S243" s="19"/>
      <c r="T243" s="18"/>
      <c r="U243" s="20"/>
      <c r="V243" s="20"/>
      <c r="W243" s="20"/>
      <c r="X243" s="14"/>
      <c r="Y243" s="14"/>
    </row>
    <row r="244" spans="1:25" hidden="1">
      <c r="A244" s="14"/>
      <c r="B244" s="14"/>
      <c r="C244" s="14"/>
      <c r="D244" s="14"/>
      <c r="E244" s="14"/>
      <c r="F244" s="14"/>
      <c r="G244" s="14"/>
      <c r="H244" s="14" t="str">
        <f t="shared" si="4"/>
        <v/>
      </c>
      <c r="I244" s="14"/>
      <c r="J244" s="130" t="str">
        <f t="shared" si="5"/>
        <v/>
      </c>
      <c r="K244" s="14"/>
      <c r="L244" s="14"/>
      <c r="M244" s="14"/>
      <c r="N244" s="14"/>
      <c r="O244" s="14"/>
      <c r="P244" s="14"/>
      <c r="Q244" s="14"/>
      <c r="R244" s="14"/>
      <c r="S244" s="19"/>
      <c r="T244" s="18"/>
      <c r="U244" s="20"/>
      <c r="V244" s="20"/>
      <c r="W244" s="20"/>
      <c r="X244" s="14"/>
      <c r="Y244" s="14"/>
    </row>
    <row r="245" spans="1:25" hidden="1">
      <c r="A245" s="14"/>
      <c r="B245" s="14"/>
      <c r="C245" s="14"/>
      <c r="D245" s="14"/>
      <c r="E245" s="14"/>
      <c r="F245" s="14"/>
      <c r="G245" s="14"/>
      <c r="H245" s="14" t="str">
        <f t="shared" si="4"/>
        <v/>
      </c>
      <c r="I245" s="14"/>
      <c r="J245" s="130" t="str">
        <f t="shared" si="5"/>
        <v/>
      </c>
      <c r="K245" s="14"/>
      <c r="L245" s="14"/>
      <c r="M245" s="14"/>
      <c r="N245" s="14"/>
      <c r="O245" s="14"/>
      <c r="P245" s="14"/>
      <c r="Q245" s="14"/>
      <c r="R245" s="14"/>
      <c r="S245" s="19"/>
      <c r="T245" s="18"/>
      <c r="U245" s="20"/>
      <c r="V245" s="20"/>
      <c r="W245" s="20"/>
      <c r="X245" s="14"/>
      <c r="Y245" s="14"/>
    </row>
    <row r="246" spans="1:25" hidden="1">
      <c r="A246" s="14"/>
      <c r="B246" s="14"/>
      <c r="C246" s="14"/>
      <c r="D246" s="14"/>
      <c r="E246" s="14"/>
      <c r="F246" s="14"/>
      <c r="G246" s="14"/>
      <c r="H246" s="14" t="str">
        <f>IF($H$224=16,O231,"")</f>
        <v/>
      </c>
      <c r="I246" s="14"/>
      <c r="J246" s="130" t="str">
        <f>IF($J$224=16,O231,"")</f>
        <v/>
      </c>
      <c r="K246" s="14"/>
      <c r="L246" s="14"/>
      <c r="M246" s="14"/>
      <c r="N246" s="14"/>
      <c r="O246" s="14"/>
      <c r="P246" s="14"/>
      <c r="Q246" s="14"/>
      <c r="R246" s="14"/>
      <c r="S246" s="19"/>
      <c r="T246" s="18"/>
      <c r="U246" s="20"/>
      <c r="V246" s="20"/>
      <c r="W246" s="20"/>
      <c r="X246" s="14"/>
      <c r="Y246" s="14"/>
    </row>
    <row r="247" spans="1:25" hidden="1">
      <c r="A247" s="14"/>
      <c r="B247" s="14"/>
      <c r="C247" s="14"/>
      <c r="D247" s="14"/>
      <c r="E247" s="14"/>
      <c r="F247" s="14"/>
      <c r="G247" s="14"/>
      <c r="H247" s="14" t="str">
        <f>IF($H$224=16,O232,"")</f>
        <v/>
      </c>
      <c r="I247" s="14"/>
      <c r="J247" s="130" t="str">
        <f>IF($J$224=16,O232,"")</f>
        <v/>
      </c>
      <c r="K247" s="14"/>
      <c r="L247" s="14"/>
      <c r="M247" s="14"/>
      <c r="N247" s="14"/>
      <c r="O247" s="14"/>
      <c r="P247" s="14"/>
      <c r="Q247" s="14"/>
      <c r="R247" s="14"/>
      <c r="S247" s="19"/>
      <c r="T247" s="18"/>
      <c r="U247" s="20"/>
      <c r="V247" s="20"/>
      <c r="W247" s="20"/>
      <c r="X247" s="14"/>
      <c r="Y247" s="14"/>
    </row>
    <row r="248" spans="1:25" hidden="1">
      <c r="A248" s="14"/>
      <c r="B248" s="14"/>
      <c r="C248" s="14"/>
      <c r="D248" s="14"/>
      <c r="E248" s="14"/>
      <c r="F248" s="14"/>
      <c r="G248" s="14"/>
      <c r="H248" s="14" t="str">
        <f>IF($H$224=16,O233,"")</f>
        <v/>
      </c>
      <c r="I248" s="14"/>
      <c r="J248" s="130" t="str">
        <f>IF($J$224=16,O233,"")</f>
        <v/>
      </c>
      <c r="K248" s="14"/>
      <c r="L248" s="14"/>
      <c r="M248" s="14"/>
      <c r="N248" s="14"/>
      <c r="O248" s="14"/>
      <c r="P248" s="14"/>
      <c r="Q248" s="14"/>
      <c r="R248" s="14"/>
      <c r="S248" s="19"/>
      <c r="T248" s="18"/>
      <c r="U248" s="20"/>
      <c r="V248" s="20"/>
      <c r="W248" s="20"/>
      <c r="X248" s="14"/>
      <c r="Y248" s="14"/>
    </row>
    <row r="249" spans="1:25" hidden="1">
      <c r="A249" s="14"/>
      <c r="B249" s="24"/>
      <c r="C249" s="14"/>
      <c r="D249" s="14"/>
      <c r="E249" s="14"/>
      <c r="F249" s="14"/>
      <c r="G249" s="14"/>
      <c r="H249" s="14" t="str">
        <f>IF($H$224=16,O234,"")</f>
        <v/>
      </c>
      <c r="I249" s="14"/>
      <c r="J249" s="130" t="str">
        <f>IF($J$224=16,O234,"")</f>
        <v/>
      </c>
      <c r="K249" s="14"/>
      <c r="L249" s="14"/>
      <c r="M249" s="14"/>
      <c r="N249" s="14"/>
      <c r="O249" s="14"/>
      <c r="P249" s="14"/>
      <c r="Q249" s="14"/>
      <c r="R249" s="14"/>
      <c r="S249" s="19"/>
      <c r="T249" s="18"/>
      <c r="U249" s="20"/>
      <c r="V249" s="20"/>
      <c r="W249" s="20"/>
      <c r="X249" s="14"/>
      <c r="Y249" s="14"/>
    </row>
    <row r="250" spans="1:25" hidden="1">
      <c r="A250" s="14"/>
      <c r="B250" s="24"/>
      <c r="C250" s="14"/>
      <c r="D250" s="14"/>
      <c r="E250" s="14"/>
      <c r="F250" s="14"/>
      <c r="G250" s="14"/>
      <c r="H250" s="14" t="str">
        <f>IF($H$224=16,O235,"")</f>
        <v/>
      </c>
      <c r="I250" s="14"/>
      <c r="J250" s="130" t="str">
        <f>IF($J$224=16,O235,"")</f>
        <v/>
      </c>
      <c r="K250" s="14"/>
      <c r="L250" s="14"/>
      <c r="M250" s="14"/>
      <c r="N250" s="14"/>
      <c r="O250" s="14"/>
      <c r="P250" s="14"/>
      <c r="Q250" s="14"/>
      <c r="R250" s="14"/>
      <c r="S250" s="19"/>
      <c r="T250" s="18"/>
      <c r="U250" s="20"/>
      <c r="V250" s="20"/>
      <c r="W250" s="20"/>
      <c r="X250" s="14"/>
      <c r="Y250" s="14"/>
    </row>
    <row r="251" spans="1:25" hidden="1">
      <c r="A251" s="14"/>
      <c r="B251" s="24"/>
      <c r="C251" s="14"/>
      <c r="D251" s="14"/>
      <c r="E251" s="14"/>
      <c r="F251" s="14"/>
      <c r="G251" s="14"/>
      <c r="H251" s="14"/>
      <c r="I251" s="14"/>
      <c r="J251" s="130"/>
      <c r="K251" s="14"/>
      <c r="L251" s="14"/>
      <c r="M251" s="14"/>
      <c r="N251" s="14"/>
      <c r="O251" s="14"/>
      <c r="P251" s="14"/>
      <c r="Q251" s="14"/>
      <c r="R251" s="14"/>
      <c r="S251" s="19"/>
      <c r="T251" s="18"/>
      <c r="U251" s="20"/>
      <c r="V251" s="20"/>
      <c r="W251" s="20"/>
      <c r="X251" s="14"/>
      <c r="Y251" s="14"/>
    </row>
    <row r="252" spans="1:25" hidden="1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9"/>
      <c r="T252" s="18"/>
      <c r="U252" s="20"/>
      <c r="V252" s="20"/>
      <c r="W252" s="20"/>
      <c r="X252" s="14"/>
      <c r="Y252" s="14"/>
    </row>
    <row r="253" spans="1:25" hidden="1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</row>
    <row r="254" spans="1:25" hidden="1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</row>
    <row r="255" spans="1:25" hidden="1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</row>
    <row r="256" spans="1:25" hidden="1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</row>
    <row r="257" spans="1:25" hidden="1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</row>
    <row r="258" spans="1:25" hidden="1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</row>
    <row r="259" spans="1:25" hidden="1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</row>
    <row r="260" spans="1:25" hidden="1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</row>
    <row r="261" spans="1:25" hidden="1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</row>
    <row r="262" spans="1:25" hidden="1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</row>
    <row r="263" spans="1:25" hidden="1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</row>
    <row r="264" spans="1:25" hidden="1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</row>
    <row r="265" spans="1:25" hidden="1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</row>
    <row r="266" spans="1:25" hidden="1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</row>
    <row r="267" spans="1:25" hidden="1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</row>
    <row r="268" spans="1:25" hidden="1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</row>
    <row r="269" spans="1:25" hidden="1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</row>
    <row r="270" spans="1:25" hidden="1">
      <c r="A270" s="14"/>
      <c r="B270" s="25" t="s">
        <v>77</v>
      </c>
      <c r="C270" s="22"/>
      <c r="D270" s="22"/>
      <c r="E270" s="22"/>
      <c r="F270" s="22"/>
      <c r="G270" s="14"/>
      <c r="H270" s="14"/>
      <c r="I270" s="25" t="s">
        <v>77</v>
      </c>
      <c r="J270" s="22"/>
      <c r="K270" s="22"/>
      <c r="L270" s="22"/>
      <c r="M270" s="22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</row>
    <row r="271" spans="1:25" hidden="1">
      <c r="A271" s="14"/>
      <c r="B271" s="25" t="s">
        <v>76</v>
      </c>
      <c r="C271" s="23"/>
      <c r="D271" s="23"/>
      <c r="E271" s="24" t="str">
        <f>IF($B$234="ton (Mg)",#REF!/1000,"-   ")</f>
        <v xml:space="preserve">-   </v>
      </c>
      <c r="F271" s="14" t="s">
        <v>75</v>
      </c>
      <c r="G271" s="14"/>
      <c r="H271" s="14"/>
      <c r="I271" s="25" t="s">
        <v>76</v>
      </c>
      <c r="J271" s="23"/>
      <c r="K271" s="23"/>
      <c r="L271" s="24" t="str">
        <f>IF($E$233="ton (Mg)",#REF!/1000,"-   ")</f>
        <v xml:space="preserve">-   </v>
      </c>
      <c r="M271" s="14" t="s">
        <v>75</v>
      </c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</row>
    <row r="272" spans="1:25" hidden="1">
      <c r="A272" s="14"/>
      <c r="B272" s="25" t="s">
        <v>73</v>
      </c>
      <c r="C272" s="23"/>
      <c r="D272" s="23"/>
      <c r="E272" s="24" t="e">
        <f>IF(#REF!="m3",#REF!/1000000,"-   ")</f>
        <v>#REF!</v>
      </c>
      <c r="F272" s="14" t="s">
        <v>72</v>
      </c>
      <c r="G272" s="14"/>
      <c r="H272" s="14"/>
      <c r="I272" s="25" t="s">
        <v>73</v>
      </c>
      <c r="J272" s="23"/>
      <c r="K272" s="23"/>
      <c r="L272" s="24" t="e">
        <f>IF(#REF!="m3",#REF!/1000000,"-   ")</f>
        <v>#REF!</v>
      </c>
      <c r="M272" s="14" t="s">
        <v>72</v>
      </c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</row>
    <row r="273" spans="1:25" hidden="1">
      <c r="A273" s="14"/>
      <c r="B273" s="25" t="s">
        <v>70</v>
      </c>
      <c r="C273" s="23"/>
      <c r="D273" s="23"/>
      <c r="E273" s="24" t="str">
        <f>IF($B$234="m3",#REF!/#REF!,"-   ")</f>
        <v xml:space="preserve">-   </v>
      </c>
      <c r="F273" s="14" t="s">
        <v>69</v>
      </c>
      <c r="G273" s="14"/>
      <c r="H273" s="14"/>
      <c r="I273" s="25" t="s">
        <v>70</v>
      </c>
      <c r="J273" s="23"/>
      <c r="K273" s="23"/>
      <c r="L273" s="24" t="str">
        <f>IF($E$233="m3",#REF!/#REF!,"-   ")</f>
        <v xml:space="preserve">-   </v>
      </c>
      <c r="M273" s="14" t="s">
        <v>69</v>
      </c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</row>
    <row r="274" spans="1:25" hidden="1">
      <c r="A274" s="14"/>
      <c r="B274" s="25" t="s">
        <v>142</v>
      </c>
      <c r="C274" s="23"/>
      <c r="D274" s="23"/>
      <c r="E274" s="61" t="str">
        <f>IF($B$234="kg",#REF!/0.73/10^6,"-   ")</f>
        <v xml:space="preserve">-   </v>
      </c>
      <c r="F274" s="14" t="s">
        <v>72</v>
      </c>
      <c r="G274" s="14"/>
      <c r="H274" s="14"/>
      <c r="I274" s="25" t="s">
        <v>142</v>
      </c>
      <c r="J274" s="23"/>
      <c r="K274" s="23"/>
      <c r="L274" s="61" t="str">
        <f>IF($E$233="kg",#REF!/0.73/10^6,"-   ")</f>
        <v xml:space="preserve">-   </v>
      </c>
      <c r="M274" s="14" t="s">
        <v>72</v>
      </c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</row>
    <row r="275" spans="1:25" hidden="1">
      <c r="A275" s="14"/>
      <c r="B275" s="25" t="s">
        <v>140</v>
      </c>
      <c r="C275" s="23"/>
      <c r="D275" s="23"/>
      <c r="E275" s="24" t="str">
        <f>IF($B$234="kg",#REF!/580,"-   ")</f>
        <v xml:space="preserve">-   </v>
      </c>
      <c r="F275" s="14" t="s">
        <v>141</v>
      </c>
      <c r="G275" s="22"/>
      <c r="H275" s="14"/>
      <c r="I275" s="25" t="s">
        <v>140</v>
      </c>
      <c r="J275" s="23"/>
      <c r="K275" s="23"/>
      <c r="L275" s="24" t="str">
        <f>IF($E$233="kg",#REF!/580,"-   ")</f>
        <v xml:space="preserve">-   </v>
      </c>
      <c r="M275" s="14" t="s">
        <v>141</v>
      </c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</row>
    <row r="276" spans="1:25" hidden="1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</row>
    <row r="277" spans="1:25" ht="15.75" hidden="1" thickBot="1">
      <c r="A277" s="14"/>
      <c r="B277" s="17" t="s">
        <v>144</v>
      </c>
      <c r="C277" s="14"/>
      <c r="D277" s="14"/>
      <c r="E277" s="14"/>
      <c r="F277" s="14"/>
      <c r="G277" s="14"/>
      <c r="H277" s="14"/>
      <c r="I277" s="14">
        <v>15.6</v>
      </c>
      <c r="J277" s="14" t="s">
        <v>86</v>
      </c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</row>
    <row r="278" spans="1:25" ht="15" hidden="1" thickBot="1">
      <c r="A278" s="14"/>
      <c r="B278" s="64" t="s">
        <v>145</v>
      </c>
      <c r="C278" s="14"/>
      <c r="D278" s="14"/>
      <c r="E278" s="14"/>
      <c r="F278" s="14"/>
      <c r="G278" s="14"/>
      <c r="H278" s="14"/>
      <c r="I278" s="191">
        <v>0</v>
      </c>
      <c r="J278" s="14" t="s">
        <v>86</v>
      </c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</row>
    <row r="279" spans="1:25" hidden="1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</row>
    <row r="280" spans="1:25" hidden="1"/>
    <row r="281" spans="1:25" hidden="1"/>
    <row r="282" spans="1:25" hidden="1"/>
    <row r="283" spans="1:25" hidden="1"/>
    <row r="284" spans="1:25" hidden="1"/>
    <row r="285" spans="1:25" hidden="1"/>
    <row r="286" spans="1:25" hidden="1"/>
    <row r="287" spans="1:25" hidden="1"/>
    <row r="288" spans="1:25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</sheetData>
  <sheetProtection algorithmName="SHA-512" hashValue="d04xxkKEdMeeviywwlGJ+m7JHL/4lhwOinQBoiIVolNTyxtRFqnFjJ1mKh/swH6Co4jfD93a6lcPOFwdKcYX0Q==" saltValue="1inDoWFJHT/+7Dqi+WZLnw==" spinCount="100000" sheet="1" formatRows="0"/>
  <mergeCells count="170">
    <mergeCell ref="A44:B44"/>
    <mergeCell ref="C44:D44"/>
    <mergeCell ref="E44:F44"/>
    <mergeCell ref="A45:B45"/>
    <mergeCell ref="C45:D45"/>
    <mergeCell ref="E45:F45"/>
    <mergeCell ref="A60:F60"/>
    <mergeCell ref="A47:B48"/>
    <mergeCell ref="C47:D47"/>
    <mergeCell ref="E47:F47"/>
    <mergeCell ref="A49:B49"/>
    <mergeCell ref="A50:B50"/>
    <mergeCell ref="A59:F59"/>
    <mergeCell ref="A25:B25"/>
    <mergeCell ref="C25:D25"/>
    <mergeCell ref="E25:F25"/>
    <mergeCell ref="A29:B30"/>
    <mergeCell ref="C29:D29"/>
    <mergeCell ref="E29:F29"/>
    <mergeCell ref="A41:B41"/>
    <mergeCell ref="C41:D41"/>
    <mergeCell ref="E41:F41"/>
    <mergeCell ref="A31:B31"/>
    <mergeCell ref="A32:B32"/>
    <mergeCell ref="A33:B33"/>
    <mergeCell ref="A34:B34"/>
    <mergeCell ref="A35:B35"/>
    <mergeCell ref="A39:B39"/>
    <mergeCell ref="C39:D39"/>
    <mergeCell ref="E39:F39"/>
    <mergeCell ref="A40:B40"/>
    <mergeCell ref="C40:D40"/>
    <mergeCell ref="E40:F40"/>
    <mergeCell ref="C15:D15"/>
    <mergeCell ref="E15:F15"/>
    <mergeCell ref="A24:B24"/>
    <mergeCell ref="C24:D24"/>
    <mergeCell ref="E24:F24"/>
    <mergeCell ref="C17:D17"/>
    <mergeCell ref="E17:F17"/>
    <mergeCell ref="C18:D18"/>
    <mergeCell ref="E18:F18"/>
    <mergeCell ref="A19:B19"/>
    <mergeCell ref="C19:D19"/>
    <mergeCell ref="E19:F19"/>
    <mergeCell ref="C22:D22"/>
    <mergeCell ref="E22:F22"/>
    <mergeCell ref="A23:B23"/>
    <mergeCell ref="C23:D23"/>
    <mergeCell ref="E23:F23"/>
    <mergeCell ref="AI1:AJ1"/>
    <mergeCell ref="A87:B87"/>
    <mergeCell ref="A88:B88"/>
    <mergeCell ref="B102:J103"/>
    <mergeCell ref="B104:D104"/>
    <mergeCell ref="C10:D10"/>
    <mergeCell ref="E10:F10"/>
    <mergeCell ref="A1:F1"/>
    <mergeCell ref="A2:F2"/>
    <mergeCell ref="A3:F3"/>
    <mergeCell ref="A5:F5"/>
    <mergeCell ref="A6:F6"/>
    <mergeCell ref="C16:D16"/>
    <mergeCell ref="E16:F16"/>
    <mergeCell ref="A11:B11"/>
    <mergeCell ref="C11:D11"/>
    <mergeCell ref="E11:F11"/>
    <mergeCell ref="C12:D12"/>
    <mergeCell ref="E12:F12"/>
    <mergeCell ref="C13:D13"/>
    <mergeCell ref="E13:F13"/>
    <mergeCell ref="C14:D14"/>
    <mergeCell ref="E14:F14"/>
    <mergeCell ref="A15:B15"/>
    <mergeCell ref="B111:E111"/>
    <mergeCell ref="G111:J111"/>
    <mergeCell ref="B113:C113"/>
    <mergeCell ref="G113:H113"/>
    <mergeCell ref="B114:E114"/>
    <mergeCell ref="G114:J114"/>
    <mergeCell ref="B105:J105"/>
    <mergeCell ref="B107:E107"/>
    <mergeCell ref="G107:J107"/>
    <mergeCell ref="B110:E110"/>
    <mergeCell ref="G110:J110"/>
    <mergeCell ref="B116:E116"/>
    <mergeCell ref="G116:J116"/>
    <mergeCell ref="B118:E118"/>
    <mergeCell ref="G118:J118"/>
    <mergeCell ref="AK118:AK126"/>
    <mergeCell ref="B119:E119"/>
    <mergeCell ref="G119:J119"/>
    <mergeCell ref="B121:E121"/>
    <mergeCell ref="G121:J121"/>
    <mergeCell ref="B122:E122"/>
    <mergeCell ref="G122:J122"/>
    <mergeCell ref="B124:E124"/>
    <mergeCell ref="G124:J124"/>
    <mergeCell ref="B125:E125"/>
    <mergeCell ref="G125:J125"/>
    <mergeCell ref="AK136:AK139"/>
    <mergeCell ref="B137:E137"/>
    <mergeCell ref="G137:J137"/>
    <mergeCell ref="C138:D138"/>
    <mergeCell ref="H138:I138"/>
    <mergeCell ref="B127:E127"/>
    <mergeCell ref="G127:J127"/>
    <mergeCell ref="AK127:AK135"/>
    <mergeCell ref="B128:E128"/>
    <mergeCell ref="G128:J128"/>
    <mergeCell ref="B130:E130"/>
    <mergeCell ref="G130:J130"/>
    <mergeCell ref="B131:E131"/>
    <mergeCell ref="G131:J131"/>
    <mergeCell ref="B134:E134"/>
    <mergeCell ref="G134:J134"/>
    <mergeCell ref="C135:D135"/>
    <mergeCell ref="H135:I135"/>
    <mergeCell ref="AJ148:AJ155"/>
    <mergeCell ref="AK148:AK151"/>
    <mergeCell ref="B152:E152"/>
    <mergeCell ref="G152:J152"/>
    <mergeCell ref="AK152:AK155"/>
    <mergeCell ref="B140:E140"/>
    <mergeCell ref="G140:J140"/>
    <mergeCell ref="AJ140:AJ147"/>
    <mergeCell ref="AK140:AK143"/>
    <mergeCell ref="C141:D141"/>
    <mergeCell ref="H141:I141"/>
    <mergeCell ref="B143:E143"/>
    <mergeCell ref="G143:J143"/>
    <mergeCell ref="C144:D144"/>
    <mergeCell ref="H144:I144"/>
    <mergeCell ref="AK144:AK147"/>
    <mergeCell ref="B146:E146"/>
    <mergeCell ref="G146:J146"/>
    <mergeCell ref="B169:E169"/>
    <mergeCell ref="Q170:S170"/>
    <mergeCell ref="T170:V170"/>
    <mergeCell ref="B171:E171"/>
    <mergeCell ref="T171:V171"/>
    <mergeCell ref="AK156:AK158"/>
    <mergeCell ref="B157:C157"/>
    <mergeCell ref="G157:H157"/>
    <mergeCell ref="B159:J159"/>
    <mergeCell ref="C164:D164"/>
    <mergeCell ref="O185:P185"/>
    <mergeCell ref="T185:V185"/>
    <mergeCell ref="H201:I201"/>
    <mergeCell ref="A13:B13"/>
    <mergeCell ref="A14:B14"/>
    <mergeCell ref="A16:B16"/>
    <mergeCell ref="A17:B17"/>
    <mergeCell ref="T180:V180"/>
    <mergeCell ref="T181:V181"/>
    <mergeCell ref="T182:V182"/>
    <mergeCell ref="T183:V183"/>
    <mergeCell ref="T184:V184"/>
    <mergeCell ref="B175:E175"/>
    <mergeCell ref="T175:V175"/>
    <mergeCell ref="O176:P176"/>
    <mergeCell ref="T176:V176"/>
    <mergeCell ref="Q179:S179"/>
    <mergeCell ref="T179:V179"/>
    <mergeCell ref="B172:E172"/>
    <mergeCell ref="T172:V172"/>
    <mergeCell ref="T173:V173"/>
    <mergeCell ref="B174:C174"/>
    <mergeCell ref="T174:V174"/>
    <mergeCell ref="B168:E168"/>
  </mergeCells>
  <conditionalFormatting sqref="C11:F19">
    <cfRule type="cellIs" dxfId="22" priority="9" operator="equal">
      <formula>""</formula>
    </cfRule>
  </conditionalFormatting>
  <conditionalFormatting sqref="C20">
    <cfRule type="cellIs" dxfId="21" priority="8" operator="equal">
      <formula>""</formula>
    </cfRule>
  </conditionalFormatting>
  <conditionalFormatting sqref="E20">
    <cfRule type="cellIs" dxfId="20" priority="7" operator="equal">
      <formula>""</formula>
    </cfRule>
  </conditionalFormatting>
  <conditionalFormatting sqref="C23:F25">
    <cfRule type="cellIs" dxfId="19" priority="6" operator="equal">
      <formula>""</formula>
    </cfRule>
  </conditionalFormatting>
  <conditionalFormatting sqref="C40:D40">
    <cfRule type="cellIs" dxfId="18" priority="5" operator="equal">
      <formula>""</formula>
    </cfRule>
  </conditionalFormatting>
  <conditionalFormatting sqref="C41:D41">
    <cfRule type="cellIs" dxfId="17" priority="4" operator="equal">
      <formula>""</formula>
    </cfRule>
  </conditionalFormatting>
  <conditionalFormatting sqref="E40:F40">
    <cfRule type="cellIs" dxfId="16" priority="3" operator="equal">
      <formula>""</formula>
    </cfRule>
  </conditionalFormatting>
  <conditionalFormatting sqref="E41:F41">
    <cfRule type="cellIs" dxfId="15" priority="2" operator="equal">
      <formula>""</formula>
    </cfRule>
  </conditionalFormatting>
  <conditionalFormatting sqref="A5:F5">
    <cfRule type="cellIs" dxfId="14" priority="1" operator="equal">
      <formula>""</formula>
    </cfRule>
  </conditionalFormatting>
  <dataValidations disablePrompts="1" count="21">
    <dataValidation type="list" allowBlank="1" showInputMessage="1" showErrorMessage="1" sqref="E41:F41" xr:uid="{00000000-0002-0000-0300-000000000000}">
      <formula1>$J$226:$J$250</formula1>
    </dataValidation>
    <dataValidation type="list" allowBlank="1" showInputMessage="1" showErrorMessage="1" sqref="C41:D41" xr:uid="{00000000-0002-0000-0300-000001000000}">
      <formula1>$H$226:$H$250</formula1>
    </dataValidation>
    <dataValidation type="list" allowBlank="1" showInputMessage="1" showErrorMessage="1" sqref="E11:F11" xr:uid="{00000000-0002-0000-0300-000002000000}">
      <formula1>$R$105:$R$112</formula1>
    </dataValidation>
    <dataValidation type="list" allowBlank="1" showInputMessage="1" showErrorMessage="1" sqref="E18" xr:uid="{00000000-0002-0000-0300-000004000000}">
      <formula1>$R$152:$R$155</formula1>
    </dataValidation>
    <dataValidation type="list" allowBlank="1" showInputMessage="1" showErrorMessage="1" sqref="C18" xr:uid="{00000000-0002-0000-0300-000005000000}">
      <formula1>$R$143:$R$146</formula1>
    </dataValidation>
    <dataValidation type="list" allowBlank="1" showInputMessage="1" showErrorMessage="1" sqref="C40:D40" xr:uid="{00000000-0002-0000-0300-000006000000}">
      <formula1>$B$223:$B$236</formula1>
    </dataValidation>
    <dataValidation type="list" allowBlank="1" showInputMessage="1" showErrorMessage="1" sqref="E40:F40" xr:uid="{00000000-0002-0000-0300-000007000000}">
      <formula1>$D$223:$D$236</formula1>
    </dataValidation>
    <dataValidation type="decimal" operator="greaterThanOrEqual" allowBlank="1" showInputMessage="1" showErrorMessage="1" error="Wymagana wartość liczbowa" sqref="C19:F19 C23:D25 E24:F25" xr:uid="{00000000-0002-0000-0300-000008000000}">
      <formula1>0</formula1>
    </dataValidation>
    <dataValidation type="list" allowBlank="1" showInputMessage="1" showErrorMessage="1" sqref="C13:D13" xr:uid="{00000000-0002-0000-0300-000009000000}">
      <formula1>$T$106:$T$107</formula1>
    </dataValidation>
    <dataValidation type="list" allowBlank="1" showInputMessage="1" showErrorMessage="1" sqref="E13:F13" xr:uid="{00000000-0002-0000-0300-00000A000000}">
      <formula1>$T$110:$T$111</formula1>
    </dataValidation>
    <dataValidation type="list" errorStyle="warning" allowBlank="1" showInputMessage="1" showErrorMessage="1" sqref="C14:D14" xr:uid="{00000000-0002-0000-0300-00000B000000}">
      <formula1>IF(M117=0,C14,IF($M$117=1,$R$141,IF($M$117&lt;=3,$U$116:$U$117,IF($M$117&lt;=6,$R$141,$U$116:$U$117))))</formula1>
    </dataValidation>
    <dataValidation type="list" allowBlank="1" showInputMessage="1" showErrorMessage="1" sqref="C15:D15" xr:uid="{00000000-0002-0000-0300-00000C000000}">
      <formula1>IF(M117=0,"",IF($M$117&lt;=4,$R$141,IF($M$117&lt;=6,$R$127:$R$128,R141)))</formula1>
    </dataValidation>
    <dataValidation type="list" allowBlank="1" showInputMessage="1" showErrorMessage="1" sqref="Q100" xr:uid="{00000000-0002-0000-0300-00000D000000}">
      <formula1>IF(M117=0,"",IF($M$117&lt;=4,$R$141,IF($M$117&lt;=6,$R$127:$R$128,R141)))</formula1>
    </dataValidation>
    <dataValidation type="list" allowBlank="1" showInputMessage="1" showErrorMessage="1" sqref="C16:D16" xr:uid="{00000000-0002-0000-0300-00000E000000}">
      <formula1>IF($M$124=0,C16,IF($M$124&lt;2020,$R$141,IF($M$124&lt;3010,$U$119:$U$120,IF($M$124=3010,$R$141,IF($M$124=3020,$U$119:$U$120,IF(M124&gt;=4000,R141))))))</formula1>
    </dataValidation>
    <dataValidation type="list" allowBlank="1" showInputMessage="1" showErrorMessage="1" sqref="E15:F15" xr:uid="{00000000-0002-0000-0300-00000F000000}">
      <formula1>IF(O117=0,$E$15,IF($O$117&lt;=4,$R$141,IF($O$117&lt;=6,$R$127:$R$128,R141)))</formula1>
    </dataValidation>
    <dataValidation type="list" allowBlank="1" showInputMessage="1" showErrorMessage="1" sqref="C17:D17" xr:uid="{00000000-0002-0000-0300-000010000000}">
      <formula1>IF(M124=0,$C$17,IF($M$124&lt;2020,$R$141,IF($M$124&lt;3010,$U$122:$U$123,IF($M$124=3010,$R$141,IF($M$124=3020,$U$122:$U$123,$R$141)))))</formula1>
    </dataValidation>
    <dataValidation type="list" allowBlank="1" showInputMessage="1" showErrorMessage="1" sqref="E14:F14" xr:uid="{00000000-0002-0000-0300-000011000000}">
      <formula1>IF(O117=0,$E$14,IF($O$117=1,$R$141,IF($O$117&lt;=3,$U$116:$U$117,IF($O$117&lt;=6,$R$141,$U$116:$U$117))))</formula1>
    </dataValidation>
    <dataValidation type="list" allowBlank="1" showInputMessage="1" showErrorMessage="1" sqref="E16:F16" xr:uid="{00000000-0002-0000-0300-000012000000}">
      <formula1>IF(O124=0,$E$16,IF($O$124&lt;2020,$R$141,IF($O$124&lt;3010,$U$119:$U$120,IF($O$124=3010,$R$141,IF($O$124=3020,$U$119:$U$120,$R$141)))))</formula1>
    </dataValidation>
    <dataValidation type="list" allowBlank="1" showInputMessage="1" showErrorMessage="1" sqref="E17:F17" xr:uid="{00000000-0002-0000-0300-000013000000}">
      <formula1>IF(O124=0,$E$17,IF($O$124&lt;2020,$R$141,IF($O$124&lt;3010,$U$122:$U$123,IF($O$124=3010,$R$141,IF($O$124=3020,$U$122:$U$123,$R$141)))))</formula1>
    </dataValidation>
    <dataValidation type="decimal" allowBlank="1" showInputMessage="1" showErrorMessage="1" error="Należy wprowadzić prawidłową wartość." sqref="E23:F23" xr:uid="{60980FAC-BBDB-45B4-9861-55C8D7BB2102}">
      <formula1>0</formula1>
      <formula2>1.8</formula2>
    </dataValidation>
    <dataValidation type="list" allowBlank="1" showInputMessage="1" showErrorMessage="1" sqref="C11:D11" xr:uid="{9389842F-B64D-46D6-8142-0842244FE4B7}">
      <formula1>$R$105:$R$111</formula1>
    </dataValidation>
  </dataValidations>
  <pageMargins left="0.7" right="0.7" top="0.75" bottom="0.75" header="0.3" footer="0.3"/>
  <pageSetup paperSize="9" scale="87" orientation="portrait" r:id="rId1"/>
  <headerFooter>
    <oddFooter>&amp;C&amp;"-,Standardowy"Strona &amp;P z &amp;N&amp;R&amp;"-,Standardowy"&amp;8v2022-4</oddFooter>
  </headerFooter>
  <rowBreaks count="1" manualBreakCount="1">
    <brk id="6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201"/>
  <sheetViews>
    <sheetView zoomScaleNormal="100" zoomScaleSheetLayoutView="85" workbookViewId="0">
      <selection activeCell="A5" sqref="A5:T5"/>
    </sheetView>
  </sheetViews>
  <sheetFormatPr defaultColWidth="9" defaultRowHeight="14.25"/>
  <cols>
    <col min="1" max="7" width="3.625" style="1" customWidth="1"/>
    <col min="8" max="8" width="4.75" style="1" customWidth="1"/>
    <col min="9" max="11" width="5.25" style="1" customWidth="1"/>
    <col min="12" max="12" width="3.625" style="1" customWidth="1"/>
    <col min="13" max="13" width="5" style="1" customWidth="1"/>
    <col min="14" max="14" width="3.625" style="1" customWidth="1"/>
    <col min="15" max="15" width="5.25" style="1" customWidth="1"/>
    <col min="16" max="17" width="3.625" style="1" customWidth="1"/>
    <col min="18" max="18" width="5.125" style="1" customWidth="1"/>
    <col min="19" max="20" width="3.625" style="1" customWidth="1"/>
    <col min="21" max="16384" width="9" style="1"/>
  </cols>
  <sheetData>
    <row r="1" spans="1:20" ht="15.75" customHeight="1">
      <c r="A1" s="261" t="s">
        <v>261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</row>
    <row r="2" spans="1:20" ht="13.5" customHeight="1">
      <c r="A2" s="265" t="s">
        <v>216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</row>
    <row r="3" spans="1:20" ht="13.5" customHeight="1">
      <c r="A3" s="297" t="s">
        <v>262</v>
      </c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</row>
    <row r="4" spans="1:20" ht="3.75" customHeight="1">
      <c r="A4" s="267"/>
      <c r="B4" s="267"/>
      <c r="C4" s="267"/>
      <c r="D4" s="267"/>
      <c r="E4" s="267"/>
      <c r="F4" s="267"/>
      <c r="M4" s="14"/>
      <c r="N4" s="118"/>
      <c r="O4" s="118"/>
      <c r="P4" s="118"/>
      <c r="Q4" s="118"/>
      <c r="R4" s="118"/>
      <c r="S4" s="118"/>
      <c r="T4" s="14"/>
    </row>
    <row r="5" spans="1:20" ht="34.5" customHeight="1">
      <c r="A5" s="305"/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  <c r="M5" s="305"/>
      <c r="N5" s="305"/>
      <c r="O5" s="305"/>
      <c r="P5" s="305"/>
      <c r="Q5" s="305"/>
      <c r="R5" s="305"/>
      <c r="S5" s="305"/>
      <c r="T5" s="305"/>
    </row>
    <row r="6" spans="1:20" ht="11.25" customHeight="1">
      <c r="A6" s="267" t="s">
        <v>185</v>
      </c>
      <c r="B6" s="267"/>
      <c r="C6" s="267"/>
      <c r="D6" s="267"/>
      <c r="E6" s="267"/>
      <c r="F6" s="267"/>
      <c r="G6" s="267"/>
      <c r="H6" s="267"/>
      <c r="I6" s="267"/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</row>
    <row r="7" spans="1:20" ht="6" customHeight="1">
      <c r="A7" s="150"/>
      <c r="B7" s="150"/>
      <c r="C7" s="150"/>
      <c r="D7" s="150"/>
      <c r="E7" s="150"/>
      <c r="F7" s="150"/>
      <c r="M7" s="14"/>
      <c r="N7" s="14"/>
      <c r="O7" s="14"/>
      <c r="P7" s="14"/>
      <c r="Q7" s="14"/>
      <c r="R7" s="14"/>
      <c r="S7" s="14"/>
      <c r="T7" s="14"/>
    </row>
    <row r="8" spans="1:20" ht="15">
      <c r="A8" s="136" t="s">
        <v>319</v>
      </c>
      <c r="B8" s="175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38"/>
      <c r="P8" s="14"/>
      <c r="Q8" s="14"/>
      <c r="R8" s="14"/>
      <c r="S8" s="14"/>
      <c r="T8" s="14"/>
    </row>
    <row r="9" spans="1:20" ht="3" customHeight="1">
      <c r="A9" s="175"/>
      <c r="B9" s="175"/>
      <c r="C9" s="175"/>
      <c r="D9" s="175"/>
      <c r="E9" s="175"/>
      <c r="F9" s="175"/>
      <c r="G9" s="175"/>
      <c r="H9" s="175"/>
      <c r="K9" s="139"/>
      <c r="L9" s="139"/>
      <c r="N9" s="140"/>
      <c r="O9" s="140"/>
      <c r="Q9" s="139"/>
      <c r="R9" s="139"/>
      <c r="S9" s="139"/>
      <c r="T9" s="139"/>
    </row>
    <row r="10" spans="1:20" ht="24.75" customHeight="1">
      <c r="A10" s="299"/>
      <c r="B10" s="299"/>
      <c r="C10" s="299"/>
      <c r="D10" s="299"/>
      <c r="E10" s="299"/>
      <c r="F10" s="299"/>
      <c r="G10" s="299"/>
      <c r="H10" s="299"/>
      <c r="I10" s="299"/>
      <c r="J10" s="299"/>
      <c r="K10" s="299"/>
      <c r="L10" s="299"/>
      <c r="M10" s="299"/>
      <c r="N10" s="299"/>
      <c r="O10" s="299"/>
      <c r="P10" s="299"/>
      <c r="Q10" s="299"/>
      <c r="R10" s="299"/>
      <c r="S10" s="299"/>
      <c r="T10" s="299"/>
    </row>
    <row r="11" spans="1:20" ht="5.25" customHeight="1">
      <c r="A11" s="137"/>
      <c r="B11" s="139"/>
      <c r="C11" s="140"/>
      <c r="D11" s="140"/>
      <c r="E11" s="141"/>
      <c r="F11" s="142"/>
      <c r="G11" s="143"/>
      <c r="K11" s="144"/>
      <c r="L11" s="144"/>
      <c r="N11" s="139"/>
      <c r="Q11" s="139"/>
      <c r="R11" s="139"/>
      <c r="S11" s="139"/>
    </row>
    <row r="12" spans="1:20" ht="15">
      <c r="A12" s="136" t="s">
        <v>263</v>
      </c>
      <c r="B12" s="144"/>
      <c r="C12" s="139"/>
      <c r="D12" s="145"/>
      <c r="E12" s="139"/>
      <c r="F12" s="140"/>
      <c r="G12" s="140"/>
      <c r="K12" s="144"/>
      <c r="L12" s="144"/>
      <c r="N12" s="139"/>
      <c r="Q12" s="139"/>
      <c r="R12" s="139"/>
      <c r="S12" s="139"/>
    </row>
    <row r="13" spans="1:20" ht="3.75" customHeight="1">
      <c r="A13" s="175"/>
      <c r="B13" s="144"/>
      <c r="C13" s="139"/>
      <c r="D13" s="145"/>
      <c r="E13" s="139"/>
      <c r="F13" s="140"/>
      <c r="G13" s="140"/>
      <c r="K13" s="144"/>
      <c r="L13" s="144"/>
      <c r="N13" s="139"/>
      <c r="Q13" s="139"/>
      <c r="R13" s="139"/>
      <c r="S13" s="139"/>
    </row>
    <row r="14" spans="1:20">
      <c r="A14" s="300" t="s">
        <v>264</v>
      </c>
      <c r="B14" s="300"/>
      <c r="C14" s="300"/>
      <c r="D14" s="300"/>
      <c r="E14" s="300"/>
      <c r="F14" s="301" t="s">
        <v>265</v>
      </c>
      <c r="G14" s="301"/>
      <c r="H14" s="301"/>
      <c r="I14" s="302"/>
      <c r="J14" s="302"/>
      <c r="K14" s="302"/>
      <c r="L14" s="302"/>
      <c r="N14" s="139"/>
      <c r="Q14" s="139"/>
      <c r="R14" s="139"/>
      <c r="S14" s="139"/>
    </row>
    <row r="15" spans="1:20">
      <c r="A15" s="303" t="s">
        <v>266</v>
      </c>
      <c r="B15" s="303"/>
      <c r="C15" s="303"/>
      <c r="D15" s="303"/>
      <c r="E15" s="303"/>
      <c r="F15" s="303"/>
      <c r="G15" s="303"/>
      <c r="H15" s="303"/>
      <c r="I15" s="303"/>
      <c r="J15" s="137"/>
      <c r="K15" s="137"/>
      <c r="L15" s="137"/>
      <c r="M15" s="137"/>
      <c r="N15" s="137"/>
      <c r="O15" s="137"/>
      <c r="Q15" s="137"/>
      <c r="R15" s="137"/>
      <c r="S15" s="137"/>
    </row>
    <row r="16" spans="1:20">
      <c r="A16" s="300" t="s">
        <v>267</v>
      </c>
      <c r="B16" s="300"/>
      <c r="C16" s="300"/>
      <c r="D16" s="300"/>
      <c r="E16" s="300"/>
      <c r="F16" s="301" t="s">
        <v>323</v>
      </c>
      <c r="G16" s="301"/>
      <c r="H16" s="301"/>
      <c r="I16" s="304"/>
      <c r="J16" s="304"/>
      <c r="K16" s="304"/>
      <c r="L16" s="304"/>
      <c r="M16" s="175"/>
      <c r="N16" s="175"/>
      <c r="P16" s="175"/>
      <c r="Q16" s="175"/>
      <c r="R16" s="175"/>
      <c r="S16" s="175"/>
      <c r="T16" s="175"/>
    </row>
    <row r="17" spans="1:20">
      <c r="A17" s="300" t="s">
        <v>268</v>
      </c>
      <c r="B17" s="300"/>
      <c r="C17" s="300"/>
      <c r="D17" s="300"/>
      <c r="E17" s="300"/>
      <c r="F17" s="308" t="s">
        <v>322</v>
      </c>
      <c r="G17" s="308"/>
      <c r="H17" s="308"/>
      <c r="I17" s="304"/>
      <c r="J17" s="304"/>
      <c r="K17" s="304"/>
      <c r="L17" s="304"/>
    </row>
    <row r="18" spans="1:20">
      <c r="A18" s="300" t="s">
        <v>269</v>
      </c>
      <c r="B18" s="300"/>
      <c r="C18" s="300"/>
      <c r="D18" s="300"/>
      <c r="E18" s="300"/>
      <c r="F18" s="308" t="s">
        <v>270</v>
      </c>
      <c r="G18" s="308"/>
      <c r="H18" s="308"/>
      <c r="I18" s="304"/>
      <c r="J18" s="304"/>
      <c r="K18" s="304"/>
      <c r="L18" s="304"/>
      <c r="P18" s="14"/>
      <c r="Q18" s="14"/>
      <c r="R18" s="14"/>
      <c r="S18" s="14"/>
      <c r="T18" s="14"/>
    </row>
    <row r="19" spans="1:20">
      <c r="A19" s="300" t="s">
        <v>271</v>
      </c>
      <c r="B19" s="300"/>
      <c r="C19" s="300"/>
      <c r="D19" s="300"/>
      <c r="E19" s="300"/>
      <c r="F19" s="306" t="s">
        <v>272</v>
      </c>
      <c r="G19" s="306"/>
      <c r="H19" s="306"/>
      <c r="I19" s="307"/>
      <c r="J19" s="307"/>
      <c r="K19" s="307"/>
      <c r="L19" s="307"/>
      <c r="M19" s="175"/>
      <c r="N19" s="175"/>
      <c r="O19" s="175"/>
      <c r="P19" s="175"/>
      <c r="Q19" s="175"/>
      <c r="R19" s="175"/>
      <c r="S19" s="175"/>
      <c r="T19" s="175"/>
    </row>
    <row r="20" spans="1:20" ht="29.25" customHeight="1">
      <c r="A20" s="300" t="s">
        <v>273</v>
      </c>
      <c r="B20" s="300"/>
      <c r="C20" s="300"/>
      <c r="D20" s="300"/>
      <c r="E20" s="300"/>
      <c r="F20" s="307"/>
      <c r="G20" s="307"/>
      <c r="H20" s="307"/>
      <c r="I20" s="307"/>
      <c r="J20" s="307"/>
      <c r="K20" s="307"/>
      <c r="L20" s="307"/>
      <c r="M20" s="175"/>
      <c r="N20" s="175"/>
      <c r="O20" s="175"/>
      <c r="P20" s="175"/>
      <c r="Q20" s="175"/>
      <c r="R20" s="175"/>
      <c r="S20" s="175"/>
      <c r="T20" s="175"/>
    </row>
    <row r="21" spans="1:20" ht="3.75" customHeight="1">
      <c r="A21" s="146"/>
      <c r="B21" s="147"/>
      <c r="C21" s="147"/>
      <c r="D21" s="147"/>
      <c r="E21" s="147"/>
      <c r="F21" s="147"/>
      <c r="L21" s="175"/>
      <c r="M21" s="175"/>
      <c r="N21" s="175"/>
      <c r="O21" s="175"/>
      <c r="P21" s="175"/>
      <c r="Q21" s="175"/>
      <c r="R21" s="175"/>
      <c r="S21" s="175"/>
      <c r="T21" s="175"/>
    </row>
    <row r="22" spans="1:20" ht="26.25" customHeight="1">
      <c r="A22" s="310" t="s">
        <v>307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10"/>
      <c r="L22" s="310"/>
      <c r="M22" s="310"/>
      <c r="N22" s="310"/>
      <c r="O22" s="310"/>
      <c r="P22" s="310"/>
      <c r="Q22" s="310"/>
      <c r="R22" s="310"/>
      <c r="S22" s="310"/>
      <c r="T22" s="310"/>
    </row>
    <row r="23" spans="1:20" ht="3.75" customHeight="1">
      <c r="A23" s="136"/>
      <c r="B23" s="147"/>
      <c r="C23" s="147"/>
      <c r="D23" s="147"/>
      <c r="E23" s="147"/>
      <c r="F23" s="147"/>
      <c r="L23" s="175"/>
      <c r="M23" s="175"/>
      <c r="N23" s="175"/>
      <c r="O23" s="175"/>
      <c r="P23" s="175"/>
      <c r="Q23" s="175"/>
      <c r="R23" s="175"/>
      <c r="S23" s="175"/>
      <c r="T23" s="175"/>
    </row>
    <row r="24" spans="1:20">
      <c r="A24" s="300" t="s">
        <v>274</v>
      </c>
      <c r="B24" s="300"/>
      <c r="C24" s="300"/>
      <c r="D24" s="300"/>
      <c r="E24" s="300"/>
      <c r="F24" s="300"/>
      <c r="G24" s="300"/>
      <c r="H24" s="300"/>
      <c r="I24" s="300"/>
      <c r="J24" s="300"/>
      <c r="K24" s="300"/>
      <c r="L24" s="300"/>
      <c r="M24" s="309"/>
      <c r="N24" s="309"/>
      <c r="O24" s="309"/>
      <c r="P24" s="175"/>
      <c r="S24" s="175"/>
      <c r="T24" s="175"/>
    </row>
    <row r="25" spans="1:20">
      <c r="A25" s="300" t="s">
        <v>275</v>
      </c>
      <c r="B25" s="300"/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9"/>
      <c r="N25" s="309"/>
      <c r="O25" s="309"/>
      <c r="P25" s="175"/>
      <c r="S25" s="175"/>
      <c r="T25" s="175"/>
    </row>
    <row r="26" spans="1:20" ht="28.5" customHeight="1">
      <c r="A26" s="311" t="s">
        <v>276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  <c r="L26" s="311"/>
      <c r="M26" s="309"/>
      <c r="N26" s="309"/>
      <c r="O26" s="309"/>
      <c r="P26" s="175"/>
      <c r="S26" s="175"/>
      <c r="T26" s="175"/>
    </row>
    <row r="27" spans="1:20">
      <c r="A27" s="300" t="s">
        <v>320</v>
      </c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12" t="str">
        <f>IF(M26&lt;&gt;"",(((M24/3.6)*Y95)+(M25*Y94))-(M26*Y94),"N/d")</f>
        <v>N/d</v>
      </c>
      <c r="N27" s="312"/>
      <c r="O27" s="312"/>
      <c r="P27" s="175"/>
      <c r="S27" s="175"/>
      <c r="T27" s="175"/>
    </row>
    <row r="28" spans="1:20">
      <c r="A28" s="300" t="s">
        <v>325</v>
      </c>
      <c r="B28" s="300"/>
      <c r="C28" s="300"/>
      <c r="D28" s="300"/>
      <c r="E28" s="300"/>
      <c r="F28" s="300"/>
      <c r="G28" s="300"/>
      <c r="H28" s="300"/>
      <c r="I28" s="300"/>
      <c r="J28" s="300"/>
      <c r="K28" s="300"/>
      <c r="L28" s="300"/>
      <c r="M28" s="312" t="str">
        <f>IF(AND(M25&lt;&gt;"",I14&lt;&gt;""),M25*1000/I14,"N/d")</f>
        <v>N/d</v>
      </c>
      <c r="N28" s="312"/>
      <c r="O28" s="312"/>
      <c r="P28" s="175"/>
      <c r="S28" s="175"/>
      <c r="T28" s="175"/>
    </row>
    <row r="29" spans="1:20">
      <c r="A29" s="300" t="s">
        <v>326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0"/>
      <c r="L29" s="300"/>
      <c r="M29" s="312" t="str">
        <f>IF(AND(M25&lt;&gt;"",I14&lt;&gt;""),IF(M28&gt;=900,"TAK","NIE"),"N/d")</f>
        <v>N/d</v>
      </c>
      <c r="N29" s="312"/>
      <c r="O29" s="312"/>
      <c r="P29" s="175"/>
      <c r="S29" s="175"/>
      <c r="T29" s="175"/>
    </row>
    <row r="30" spans="1:20" ht="6.75" customHeight="1">
      <c r="A30" s="136"/>
      <c r="B30" s="147"/>
      <c r="C30" s="147"/>
      <c r="D30" s="147"/>
      <c r="E30" s="147"/>
      <c r="F30" s="147"/>
      <c r="L30" s="175"/>
      <c r="M30" s="175"/>
      <c r="N30" s="175"/>
      <c r="O30" s="175"/>
      <c r="P30" s="175"/>
      <c r="Q30" s="175"/>
      <c r="R30" s="175"/>
      <c r="S30" s="175"/>
      <c r="T30" s="175"/>
    </row>
    <row r="31" spans="1:20" ht="15">
      <c r="A31" s="310" t="s">
        <v>277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310"/>
      <c r="T31" s="310"/>
    </row>
    <row r="32" spans="1:20" ht="2.25" customHeight="1">
      <c r="A32" s="136"/>
      <c r="B32" s="147"/>
      <c r="C32" s="147"/>
      <c r="D32" s="147"/>
      <c r="E32" s="147"/>
      <c r="F32" s="147"/>
      <c r="L32" s="175"/>
      <c r="M32" s="175"/>
      <c r="N32" s="175"/>
      <c r="O32" s="175"/>
      <c r="P32" s="175"/>
      <c r="Q32" s="175"/>
      <c r="R32" s="175"/>
      <c r="S32" s="175"/>
      <c r="T32" s="175"/>
    </row>
    <row r="33" spans="1:20">
      <c r="A33" s="300" t="s">
        <v>278</v>
      </c>
      <c r="B33" s="300"/>
      <c r="C33" s="300"/>
      <c r="D33" s="300"/>
      <c r="E33" s="300"/>
      <c r="F33" s="300"/>
      <c r="G33" s="300"/>
      <c r="H33" s="300"/>
      <c r="I33" s="300"/>
      <c r="J33" s="300"/>
      <c r="K33" s="300"/>
      <c r="L33" s="300"/>
      <c r="M33" s="309"/>
      <c r="N33" s="309"/>
      <c r="O33" s="309"/>
      <c r="P33" s="175"/>
      <c r="Q33" s="175"/>
      <c r="R33" s="175"/>
      <c r="S33" s="175"/>
      <c r="T33" s="175"/>
    </row>
    <row r="34" spans="1:20">
      <c r="A34" s="300" t="s">
        <v>279</v>
      </c>
      <c r="B34" s="300"/>
      <c r="C34" s="300"/>
      <c r="D34" s="300"/>
      <c r="E34" s="300"/>
      <c r="F34" s="300"/>
      <c r="G34" s="300"/>
      <c r="H34" s="300"/>
      <c r="I34" s="300"/>
      <c r="J34" s="300"/>
      <c r="K34" s="300"/>
      <c r="L34" s="300"/>
      <c r="M34" s="309"/>
      <c r="N34" s="309"/>
      <c r="O34" s="309"/>
      <c r="P34" s="175"/>
      <c r="Q34" s="175"/>
      <c r="R34" s="175"/>
      <c r="S34" s="175"/>
      <c r="T34" s="175"/>
    </row>
    <row r="35" spans="1:20">
      <c r="A35" s="300" t="s">
        <v>280</v>
      </c>
      <c r="B35" s="300"/>
      <c r="C35" s="300"/>
      <c r="D35" s="300"/>
      <c r="E35" s="300"/>
      <c r="F35" s="300"/>
      <c r="G35" s="300"/>
      <c r="H35" s="300"/>
      <c r="I35" s="300"/>
      <c r="J35" s="300"/>
      <c r="K35" s="300"/>
      <c r="L35" s="300"/>
      <c r="M35" s="312" t="str">
        <f>IF(M34&lt;&gt;"",M33-M34,"")</f>
        <v/>
      </c>
      <c r="N35" s="312"/>
      <c r="O35" s="312"/>
      <c r="P35" s="175"/>
      <c r="Q35" s="175"/>
      <c r="R35" s="175"/>
      <c r="S35" s="175"/>
      <c r="T35" s="175"/>
    </row>
    <row r="36" spans="1:20">
      <c r="A36" s="300" t="s">
        <v>320</v>
      </c>
      <c r="B36" s="300"/>
      <c r="C36" s="300"/>
      <c r="D36" s="300"/>
      <c r="E36" s="300"/>
      <c r="F36" s="300"/>
      <c r="G36" s="300"/>
      <c r="H36" s="300"/>
      <c r="I36" s="300"/>
      <c r="J36" s="300"/>
      <c r="K36" s="300"/>
      <c r="L36" s="300"/>
      <c r="M36" s="312" t="str">
        <f>IF(M35&lt;&gt;"",((M33-M34)*Y94),"N/d")</f>
        <v>N/d</v>
      </c>
      <c r="N36" s="312"/>
      <c r="O36" s="312"/>
      <c r="P36" s="175"/>
      <c r="Q36" s="175"/>
      <c r="R36" s="175"/>
      <c r="S36" s="175"/>
      <c r="T36" s="175"/>
    </row>
    <row r="37" spans="1:20" ht="3.75" customHeight="1">
      <c r="A37" s="136"/>
      <c r="B37" s="147"/>
      <c r="C37" s="147"/>
      <c r="D37" s="147"/>
      <c r="E37" s="147"/>
      <c r="F37" s="147"/>
      <c r="L37" s="175"/>
      <c r="M37" s="175"/>
      <c r="N37" s="175"/>
      <c r="O37" s="175"/>
      <c r="P37" s="175"/>
      <c r="Q37" s="175"/>
      <c r="R37" s="175"/>
      <c r="S37" s="175"/>
      <c r="T37" s="175"/>
    </row>
    <row r="38" spans="1:20" ht="15">
      <c r="A38" s="310" t="s">
        <v>281</v>
      </c>
      <c r="B38" s="310"/>
      <c r="C38" s="310"/>
      <c r="D38" s="310"/>
      <c r="E38" s="310"/>
      <c r="F38" s="310"/>
      <c r="G38" s="310"/>
      <c r="H38" s="310"/>
      <c r="I38" s="310"/>
      <c r="J38" s="310"/>
      <c r="K38" s="310"/>
      <c r="L38" s="310"/>
      <c r="M38" s="310"/>
      <c r="N38" s="310"/>
      <c r="O38" s="310"/>
      <c r="P38" s="310"/>
      <c r="Q38" s="310"/>
      <c r="R38" s="310"/>
      <c r="S38" s="310"/>
      <c r="T38" s="310"/>
    </row>
    <row r="39" spans="1:20" ht="4.5" customHeight="1">
      <c r="A39" s="136"/>
      <c r="B39" s="147"/>
      <c r="C39" s="147"/>
      <c r="D39" s="147"/>
      <c r="E39" s="147"/>
      <c r="F39" s="147"/>
      <c r="L39" s="175"/>
      <c r="M39" s="175"/>
      <c r="N39" s="175"/>
      <c r="O39" s="175"/>
      <c r="P39" s="175"/>
      <c r="Q39" s="175"/>
      <c r="R39" s="175"/>
      <c r="S39" s="175"/>
      <c r="T39" s="175"/>
    </row>
    <row r="40" spans="1:20">
      <c r="A40" s="300" t="s">
        <v>282</v>
      </c>
      <c r="B40" s="300"/>
      <c r="C40" s="300"/>
      <c r="D40" s="300"/>
      <c r="E40" s="300"/>
      <c r="F40" s="300"/>
      <c r="G40" s="300"/>
      <c r="H40" s="300"/>
      <c r="I40" s="300"/>
      <c r="J40" s="300"/>
      <c r="K40" s="300"/>
      <c r="L40" s="300"/>
      <c r="M40" s="309"/>
      <c r="N40" s="309"/>
      <c r="O40" s="309"/>
      <c r="P40" s="175"/>
      <c r="Q40" s="175"/>
      <c r="R40" s="175"/>
      <c r="S40" s="175"/>
      <c r="T40" s="175"/>
    </row>
    <row r="41" spans="1:20" ht="20.100000000000001" customHeight="1">
      <c r="A41" s="284" t="s">
        <v>283</v>
      </c>
      <c r="B41" s="314"/>
      <c r="C41" s="314"/>
      <c r="D41" s="314"/>
      <c r="E41" s="314"/>
      <c r="F41" s="314"/>
      <c r="G41" s="314"/>
      <c r="H41" s="314"/>
      <c r="I41" s="314"/>
      <c r="J41" s="314"/>
      <c r="K41" s="314"/>
      <c r="L41" s="285"/>
      <c r="M41" s="309"/>
      <c r="N41" s="309"/>
      <c r="O41" s="309"/>
      <c r="P41" s="175"/>
      <c r="Q41" s="175"/>
      <c r="R41" s="175"/>
      <c r="S41" s="175"/>
      <c r="T41" s="175"/>
    </row>
    <row r="42" spans="1:20">
      <c r="A42" s="300" t="s">
        <v>284</v>
      </c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9"/>
      <c r="N42" s="309"/>
      <c r="O42" s="309"/>
      <c r="P42" s="315"/>
      <c r="Q42" s="315"/>
      <c r="R42" s="175"/>
      <c r="S42" s="175"/>
      <c r="T42" s="175"/>
    </row>
    <row r="43" spans="1:20">
      <c r="A43" s="300" t="s">
        <v>285</v>
      </c>
      <c r="B43" s="300"/>
      <c r="C43" s="300"/>
      <c r="D43" s="300"/>
      <c r="E43" s="300"/>
      <c r="F43" s="300"/>
      <c r="G43" s="300"/>
      <c r="H43" s="300"/>
      <c r="I43" s="300"/>
      <c r="J43" s="300"/>
      <c r="K43" s="300"/>
      <c r="L43" s="300"/>
      <c r="M43" s="312" t="str">
        <f>IF(P42="GJ/rok",(M40+(M41*3.6))-M42,IF(P42="MWh/rok",((M40/3.6)+M41)-M42,"N/d"))</f>
        <v>N/d</v>
      </c>
      <c r="N43" s="312"/>
      <c r="O43" s="312"/>
      <c r="P43" s="313" t="str">
        <f>IF(P42="GJ/rok","GJ/rok",IF(P42="MWh/rok","MWh/rok",""))</f>
        <v/>
      </c>
      <c r="Q43" s="313"/>
      <c r="R43" s="175"/>
      <c r="S43" s="175"/>
      <c r="T43" s="175"/>
    </row>
    <row r="44" spans="1:20" ht="5.25" customHeight="1">
      <c r="A44" s="136"/>
      <c r="B44" s="147"/>
      <c r="C44" s="147"/>
      <c r="D44" s="147"/>
      <c r="E44" s="147"/>
      <c r="F44" s="147"/>
      <c r="L44" s="175"/>
      <c r="M44" s="175"/>
      <c r="N44" s="175"/>
      <c r="O44" s="175"/>
      <c r="P44" s="175"/>
      <c r="Q44" s="175"/>
      <c r="R44" s="175"/>
      <c r="S44" s="175"/>
      <c r="T44" s="175"/>
    </row>
    <row r="45" spans="1:20" ht="18">
      <c r="A45" s="319" t="s">
        <v>327</v>
      </c>
      <c r="B45" s="319"/>
      <c r="C45" s="319"/>
      <c r="D45" s="319"/>
      <c r="E45" s="319"/>
      <c r="F45" s="319"/>
      <c r="G45" s="319"/>
      <c r="H45" s="319"/>
      <c r="I45" s="319"/>
      <c r="J45" s="319"/>
      <c r="K45" s="319"/>
      <c r="L45" s="319"/>
      <c r="M45" s="319"/>
      <c r="N45" s="319"/>
      <c r="O45" s="319"/>
      <c r="P45" s="319"/>
      <c r="Q45" s="319"/>
      <c r="R45" s="319"/>
      <c r="S45" s="319"/>
      <c r="T45" s="319"/>
    </row>
    <row r="46" spans="1:20" ht="3" customHeight="1">
      <c r="L46" s="175"/>
      <c r="M46" s="175"/>
      <c r="N46" s="175"/>
      <c r="O46" s="175"/>
      <c r="P46" s="175"/>
      <c r="Q46" s="175"/>
      <c r="R46" s="175"/>
      <c r="S46" s="175"/>
      <c r="T46" s="175"/>
    </row>
    <row r="47" spans="1:20">
      <c r="A47" s="264" t="s">
        <v>186</v>
      </c>
      <c r="B47" s="264"/>
      <c r="C47" s="264"/>
      <c r="D47" s="264"/>
      <c r="E47" s="264"/>
      <c r="F47" s="264"/>
      <c r="G47" s="264"/>
      <c r="H47" s="264"/>
      <c r="I47" s="264" t="s">
        <v>187</v>
      </c>
      <c r="J47" s="264"/>
      <c r="K47" s="264"/>
      <c r="L47" s="264"/>
      <c r="M47" s="264"/>
      <c r="N47" s="264"/>
      <c r="O47" s="264" t="s">
        <v>126</v>
      </c>
      <c r="P47" s="264"/>
      <c r="Q47" s="264"/>
      <c r="R47" s="264"/>
      <c r="S47" s="264"/>
      <c r="T47" s="264"/>
    </row>
    <row r="48" spans="1:20" ht="24.95" customHeight="1">
      <c r="A48" s="320" t="s">
        <v>200</v>
      </c>
      <c r="B48" s="320"/>
      <c r="C48" s="320"/>
      <c r="D48" s="320"/>
      <c r="E48" s="320"/>
      <c r="F48" s="320"/>
      <c r="G48" s="320"/>
      <c r="H48" s="320"/>
      <c r="I48" s="321"/>
      <c r="J48" s="322"/>
      <c r="K48" s="322"/>
      <c r="L48" s="322"/>
      <c r="M48" s="322"/>
      <c r="N48" s="323"/>
      <c r="O48" s="324"/>
      <c r="P48" s="324"/>
      <c r="Q48" s="324"/>
      <c r="R48" s="324"/>
      <c r="S48" s="324"/>
      <c r="T48" s="324"/>
    </row>
    <row r="49" spans="1:20" ht="24.95" customHeight="1">
      <c r="A49" s="274" t="s">
        <v>231</v>
      </c>
      <c r="B49" s="316"/>
      <c r="C49" s="316"/>
      <c r="D49" s="316"/>
      <c r="E49" s="316"/>
      <c r="F49" s="316"/>
      <c r="G49" s="316"/>
      <c r="H49" s="275"/>
      <c r="I49" s="317"/>
      <c r="J49" s="317"/>
      <c r="K49" s="317"/>
      <c r="L49" s="317"/>
      <c r="M49" s="317"/>
      <c r="N49" s="317"/>
      <c r="O49" s="318"/>
      <c r="P49" s="318"/>
      <c r="Q49" s="318"/>
      <c r="R49" s="318"/>
      <c r="S49" s="318"/>
      <c r="T49" s="318"/>
    </row>
    <row r="50" spans="1:20">
      <c r="A50" s="311" t="s">
        <v>246</v>
      </c>
      <c r="B50" s="311"/>
      <c r="C50" s="311"/>
      <c r="D50" s="311"/>
      <c r="E50" s="311"/>
      <c r="F50" s="311"/>
      <c r="G50" s="311"/>
      <c r="H50" s="311"/>
      <c r="I50" s="288" t="str">
        <f>IF(M40&lt;&gt;"",M40,"")</f>
        <v/>
      </c>
      <c r="J50" s="288"/>
      <c r="K50" s="288"/>
      <c r="L50" s="288"/>
      <c r="M50" s="288"/>
      <c r="N50" s="288"/>
      <c r="O50" s="288" t="str">
        <f>IF(O49&lt;&gt;"",M43,"")</f>
        <v/>
      </c>
      <c r="P50" s="288"/>
      <c r="Q50" s="288"/>
      <c r="R50" s="288"/>
      <c r="S50" s="288"/>
      <c r="T50" s="288"/>
    </row>
    <row r="51" spans="1:20" ht="14.25" customHeight="1">
      <c r="A51" s="300" t="s">
        <v>247</v>
      </c>
      <c r="B51" s="300"/>
      <c r="C51" s="300"/>
      <c r="D51" s="300"/>
      <c r="E51" s="300"/>
      <c r="F51" s="300"/>
      <c r="G51" s="300"/>
      <c r="H51" s="300"/>
      <c r="I51" s="292" t="str">
        <f>IF(I49&lt;&gt;"",VLOOKUP(H127,KOBIZE!T7:X57,5),"N/d")</f>
        <v>N/d</v>
      </c>
      <c r="J51" s="292"/>
      <c r="K51" s="292"/>
      <c r="L51" s="292"/>
      <c r="M51" s="292"/>
      <c r="N51" s="292"/>
      <c r="O51" s="292" t="str">
        <f>IF(O49&lt;&gt;"",VLOOKUP(J127,KOBIZE!T7:X57,5),"N/d")</f>
        <v>N/d</v>
      </c>
      <c r="P51" s="292"/>
      <c r="Q51" s="292"/>
      <c r="R51" s="292"/>
      <c r="S51" s="292"/>
      <c r="T51" s="292"/>
    </row>
    <row r="52" spans="1:20" ht="5.25" customHeight="1">
      <c r="L52" s="175"/>
      <c r="M52" s="175"/>
      <c r="N52" s="175"/>
      <c r="O52" s="175"/>
      <c r="P52" s="175"/>
      <c r="Q52" s="175"/>
      <c r="R52" s="175"/>
      <c r="S52" s="175"/>
      <c r="T52" s="175"/>
    </row>
    <row r="53" spans="1:20">
      <c r="A53" s="273" t="s">
        <v>123</v>
      </c>
      <c r="B53" s="273"/>
      <c r="C53" s="273"/>
      <c r="D53" s="273"/>
      <c r="E53" s="273"/>
      <c r="F53" s="273"/>
      <c r="G53" s="273"/>
      <c r="H53" s="273"/>
      <c r="I53" s="330" t="s">
        <v>124</v>
      </c>
      <c r="J53" s="330"/>
      <c r="K53" s="330"/>
      <c r="L53" s="330"/>
      <c r="M53" s="330"/>
      <c r="N53" s="330"/>
      <c r="O53" s="330" t="s">
        <v>125</v>
      </c>
      <c r="P53" s="330"/>
      <c r="Q53" s="330"/>
      <c r="R53" s="330"/>
      <c r="S53" s="330"/>
      <c r="T53" s="330"/>
    </row>
    <row r="54" spans="1:20">
      <c r="A54" s="273"/>
      <c r="B54" s="273"/>
      <c r="C54" s="273"/>
      <c r="D54" s="273"/>
      <c r="E54" s="273"/>
      <c r="F54" s="273"/>
      <c r="G54" s="273"/>
      <c r="H54" s="273"/>
      <c r="I54" s="331" t="s">
        <v>132</v>
      </c>
      <c r="J54" s="332"/>
      <c r="K54" s="333"/>
      <c r="L54" s="334" t="s">
        <v>126</v>
      </c>
      <c r="M54" s="335"/>
      <c r="N54" s="336"/>
      <c r="O54" s="337" t="s">
        <v>127</v>
      </c>
      <c r="P54" s="337"/>
      <c r="Q54" s="337"/>
      <c r="R54" s="337" t="s">
        <v>128</v>
      </c>
      <c r="S54" s="337"/>
      <c r="T54" s="337"/>
    </row>
    <row r="55" spans="1:20">
      <c r="A55" s="325">
        <v>1</v>
      </c>
      <c r="B55" s="325"/>
      <c r="C55" s="325"/>
      <c r="D55" s="325"/>
      <c r="E55" s="325"/>
      <c r="F55" s="325"/>
      <c r="G55" s="325"/>
      <c r="H55" s="325"/>
      <c r="I55" s="326">
        <v>2</v>
      </c>
      <c r="J55" s="326"/>
      <c r="K55" s="326"/>
      <c r="L55" s="326">
        <v>3</v>
      </c>
      <c r="M55" s="326"/>
      <c r="N55" s="326"/>
      <c r="O55" s="326">
        <v>4</v>
      </c>
      <c r="P55" s="326"/>
      <c r="Q55" s="326"/>
      <c r="R55" s="326">
        <v>5</v>
      </c>
      <c r="S55" s="326"/>
      <c r="T55" s="326"/>
    </row>
    <row r="56" spans="1:20">
      <c r="A56" s="327" t="s">
        <v>286</v>
      </c>
      <c r="B56" s="327"/>
      <c r="C56" s="327"/>
      <c r="D56" s="327"/>
      <c r="E56" s="327"/>
      <c r="F56" s="327"/>
      <c r="G56" s="327"/>
      <c r="H56" s="327"/>
      <c r="I56" s="328" t="str">
        <f>IF(I50&lt;&gt;"",I50*I51,"")</f>
        <v/>
      </c>
      <c r="J56" s="328"/>
      <c r="K56" s="328"/>
      <c r="L56" s="328" t="str">
        <f>IF(O50&lt;&gt;"",O50*O51,"")</f>
        <v/>
      </c>
      <c r="M56" s="328"/>
      <c r="N56" s="328"/>
      <c r="O56" s="329" t="str">
        <f>IF(I56&lt;&gt;"",I56-L56,"N/d")</f>
        <v>N/d</v>
      </c>
      <c r="P56" s="329"/>
      <c r="Q56" s="329"/>
      <c r="R56" s="288" t="str">
        <f>IF(I56&lt;&gt;"",(O56/I56)*100,"N/d")</f>
        <v>N/d</v>
      </c>
      <c r="S56" s="288"/>
      <c r="T56" s="288"/>
    </row>
    <row r="57" spans="1:20" ht="15">
      <c r="A57" s="146"/>
      <c r="B57" s="147"/>
      <c r="C57" s="147"/>
      <c r="D57" s="147"/>
      <c r="E57" s="147"/>
      <c r="F57" s="147"/>
      <c r="L57" s="175"/>
      <c r="M57" s="175"/>
      <c r="N57" s="175"/>
      <c r="O57" s="175"/>
      <c r="P57" s="175"/>
      <c r="Q57" s="175"/>
      <c r="R57" s="175"/>
      <c r="S57" s="175"/>
      <c r="T57" s="175"/>
    </row>
    <row r="58" spans="1:20">
      <c r="M58" s="14"/>
      <c r="N58" s="14"/>
      <c r="O58" s="14"/>
      <c r="P58" s="14"/>
      <c r="Q58" s="14"/>
      <c r="R58" s="14"/>
      <c r="S58" s="14"/>
      <c r="T58" s="14"/>
    </row>
    <row r="59" spans="1:20" ht="7.5" customHeight="1">
      <c r="M59" s="14"/>
      <c r="N59" s="14"/>
      <c r="O59" s="14"/>
      <c r="P59" s="14"/>
      <c r="Q59" s="14"/>
      <c r="R59" s="14"/>
      <c r="S59" s="14"/>
      <c r="T59" s="14"/>
    </row>
    <row r="60" spans="1:20" ht="7.5" customHeight="1">
      <c r="M60" s="14"/>
      <c r="N60" s="14"/>
      <c r="O60" s="14"/>
      <c r="P60" s="14"/>
      <c r="Q60" s="14"/>
      <c r="R60" s="14"/>
      <c r="S60" s="14"/>
      <c r="T60" s="14"/>
    </row>
    <row r="61" spans="1:20" ht="9" customHeight="1">
      <c r="M61" s="14"/>
      <c r="N61" s="14"/>
      <c r="O61" s="14"/>
      <c r="P61" s="14"/>
      <c r="Q61" s="14"/>
      <c r="R61" s="14"/>
      <c r="S61" s="14"/>
      <c r="T61" s="14"/>
    </row>
    <row r="62" spans="1:20" ht="7.5" customHeight="1">
      <c r="M62" s="148"/>
      <c r="N62" s="148"/>
      <c r="O62" s="160"/>
      <c r="P62" s="160"/>
      <c r="Q62" s="160"/>
      <c r="R62" s="160"/>
      <c r="S62" s="160"/>
      <c r="T62" s="14"/>
    </row>
    <row r="63" spans="1:20" ht="15">
      <c r="A63" s="147"/>
      <c r="B63" s="298">
        <f ca="1">TODAY()</f>
        <v>44804</v>
      </c>
      <c r="C63" s="298"/>
      <c r="D63" s="298"/>
      <c r="E63" s="298"/>
      <c r="F63" s="159"/>
      <c r="G63" s="159"/>
      <c r="M63" s="149" t="s">
        <v>209</v>
      </c>
      <c r="N63" s="14"/>
      <c r="O63" s="14"/>
      <c r="P63" s="14"/>
      <c r="Q63" s="14"/>
      <c r="R63" s="14"/>
      <c r="S63" s="14"/>
      <c r="T63" s="14"/>
    </row>
    <row r="64" spans="1:20" ht="15">
      <c r="B64" s="262" t="s">
        <v>223</v>
      </c>
      <c r="C64" s="262"/>
      <c r="D64" s="262"/>
      <c r="E64" s="262"/>
      <c r="F64" s="150"/>
      <c r="I64" s="111"/>
      <c r="M64" s="151" t="s">
        <v>210</v>
      </c>
      <c r="N64" s="14"/>
      <c r="O64" s="14"/>
      <c r="P64" s="14"/>
      <c r="Q64" s="14"/>
      <c r="R64" s="14"/>
      <c r="S64" s="14"/>
      <c r="T64" s="14"/>
    </row>
    <row r="65" spans="1:20" ht="15">
      <c r="A65" s="152" t="s">
        <v>248</v>
      </c>
      <c r="B65" s="128"/>
      <c r="C65" s="128"/>
      <c r="D65" s="128"/>
      <c r="E65" s="128"/>
      <c r="F65" s="128"/>
      <c r="M65" s="112"/>
    </row>
    <row r="66" spans="1:20" ht="29.25" customHeight="1">
      <c r="A66" s="293" t="s">
        <v>329</v>
      </c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</row>
    <row r="67" spans="1:20" ht="16.5" customHeight="1">
      <c r="A67" s="161"/>
      <c r="B67" s="161"/>
      <c r="C67" s="161"/>
      <c r="D67" s="161"/>
      <c r="E67" s="161"/>
      <c r="F67" s="161"/>
      <c r="G67" s="161"/>
      <c r="H67" s="161"/>
      <c r="I67" s="161"/>
      <c r="J67" s="161"/>
      <c r="K67" s="161"/>
      <c r="L67" s="161"/>
      <c r="M67" s="161"/>
      <c r="N67" s="161"/>
      <c r="O67" s="161"/>
      <c r="P67" s="161"/>
      <c r="Q67" s="161"/>
      <c r="R67" s="161"/>
      <c r="S67" s="161"/>
      <c r="T67" s="161"/>
    </row>
    <row r="92" spans="21:27" hidden="1"/>
    <row r="93" spans="21:27" hidden="1"/>
    <row r="94" spans="21:27" ht="23.25" hidden="1" customHeight="1">
      <c r="U94" s="1" t="s">
        <v>293</v>
      </c>
      <c r="V94" s="296" t="s">
        <v>294</v>
      </c>
      <c r="W94" s="296"/>
      <c r="X94" s="296"/>
      <c r="Y94" s="1">
        <v>0.81200000000000006</v>
      </c>
      <c r="Z94" s="1" t="s">
        <v>295</v>
      </c>
      <c r="AA94" s="14"/>
    </row>
    <row r="95" spans="21:27" ht="30" hidden="1" customHeight="1">
      <c r="U95" s="1" t="s">
        <v>296</v>
      </c>
      <c r="V95" s="296" t="s">
        <v>297</v>
      </c>
      <c r="W95" s="296"/>
      <c r="X95" s="296"/>
      <c r="Y95" s="1">
        <v>0.33800000000000002</v>
      </c>
      <c r="Z95" s="1" t="s">
        <v>295</v>
      </c>
      <c r="AA95" s="14"/>
    </row>
    <row r="96" spans="21:27" hidden="1">
      <c r="U96" s="14"/>
      <c r="V96" s="14"/>
      <c r="W96" s="14"/>
      <c r="X96" s="14"/>
      <c r="Y96" s="14"/>
      <c r="Z96" s="14"/>
      <c r="AA96" s="14"/>
    </row>
    <row r="97" spans="1:23" hidden="1"/>
    <row r="98" spans="1:23" hidden="1"/>
    <row r="99" spans="1:23" hidden="1"/>
    <row r="100" spans="1:23" hidden="1"/>
    <row r="101" spans="1:23" hidden="1"/>
    <row r="102" spans="1:23" hidden="1"/>
    <row r="103" spans="1:23" hidden="1">
      <c r="A103" s="14"/>
      <c r="B103" s="14"/>
      <c r="C103" s="14"/>
      <c r="D103" s="14"/>
      <c r="E103" s="14"/>
      <c r="F103" s="14"/>
      <c r="G103" s="14"/>
      <c r="H103" s="228" t="s">
        <v>135</v>
      </c>
      <c r="I103" s="228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</row>
    <row r="104" spans="1:23" ht="15" hidden="1">
      <c r="A104" s="14"/>
      <c r="B104" s="14"/>
      <c r="C104" s="14"/>
      <c r="D104" s="14"/>
      <c r="E104" s="14"/>
      <c r="F104" s="14"/>
      <c r="G104" s="14"/>
      <c r="H104" s="17" t="s">
        <v>136</v>
      </c>
      <c r="I104" s="17" t="s">
        <v>137</v>
      </c>
      <c r="J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 t="s">
        <v>252</v>
      </c>
      <c r="V104" s="14" t="s">
        <v>252</v>
      </c>
      <c r="W104" s="14" t="s">
        <v>253</v>
      </c>
    </row>
    <row r="105" spans="1:23" ht="16.5" hidden="1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" t="s">
        <v>86</v>
      </c>
      <c r="V105" s="1" t="s">
        <v>258</v>
      </c>
      <c r="W105" s="1" t="s">
        <v>82</v>
      </c>
    </row>
    <row r="106" spans="1:23" hidden="1">
      <c r="A106" s="5">
        <v>1</v>
      </c>
      <c r="B106" s="6" t="s">
        <v>134</v>
      </c>
      <c r="D106" s="14"/>
      <c r="E106" s="64" t="s">
        <v>254</v>
      </c>
      <c r="F106" s="14"/>
      <c r="G106" s="14"/>
      <c r="H106" s="14" t="s">
        <v>138</v>
      </c>
      <c r="I106" s="14" t="s">
        <v>138</v>
      </c>
      <c r="J106" s="14"/>
      <c r="K106" s="14"/>
      <c r="L106" s="14"/>
      <c r="M106" s="14"/>
      <c r="N106" s="14"/>
      <c r="O106" s="14"/>
      <c r="P106" s="14"/>
      <c r="Q106" s="14"/>
      <c r="R106" s="14"/>
      <c r="S106" s="14">
        <v>100</v>
      </c>
      <c r="T106" s="14" t="s">
        <v>139</v>
      </c>
      <c r="U106" s="14">
        <v>0</v>
      </c>
      <c r="V106" s="14">
        <v>0</v>
      </c>
      <c r="W106" s="14">
        <v>0</v>
      </c>
    </row>
    <row r="107" spans="1:23" hidden="1">
      <c r="A107" s="5">
        <v>2</v>
      </c>
      <c r="B107" s="6" t="s">
        <v>163</v>
      </c>
      <c r="D107" s="14"/>
      <c r="E107" s="134">
        <v>860</v>
      </c>
      <c r="F107" s="14"/>
      <c r="G107" s="14"/>
      <c r="H107" s="18" t="s">
        <v>114</v>
      </c>
      <c r="I107" s="16">
        <v>1</v>
      </c>
      <c r="J107" s="14">
        <v>0</v>
      </c>
      <c r="K107" s="15" t="s">
        <v>113</v>
      </c>
      <c r="L107" s="14"/>
      <c r="M107" s="15" t="s">
        <v>112</v>
      </c>
      <c r="N107" s="14"/>
      <c r="O107" s="18" t="s">
        <v>56</v>
      </c>
      <c r="P107" s="14"/>
      <c r="Q107" s="14">
        <v>1</v>
      </c>
      <c r="R107" s="14"/>
      <c r="S107" s="19"/>
      <c r="T107" s="18"/>
      <c r="U107" s="20"/>
      <c r="V107" s="20"/>
      <c r="W107" s="20"/>
    </row>
    <row r="108" spans="1:23" hidden="1">
      <c r="A108" s="5">
        <v>3</v>
      </c>
      <c r="B108" s="6" t="s">
        <v>18</v>
      </c>
      <c r="D108" s="14"/>
      <c r="E108" s="14"/>
      <c r="F108" s="14"/>
      <c r="G108" s="14"/>
      <c r="H108" s="18" t="s">
        <v>111</v>
      </c>
      <c r="I108" s="16">
        <v>2</v>
      </c>
      <c r="J108" s="14"/>
      <c r="K108" s="15" t="s">
        <v>110</v>
      </c>
      <c r="L108" s="14"/>
      <c r="M108" s="15" t="s">
        <v>109</v>
      </c>
      <c r="N108" s="14"/>
      <c r="O108" s="18" t="s">
        <v>55</v>
      </c>
      <c r="P108" s="14"/>
      <c r="Q108" s="14">
        <v>2</v>
      </c>
      <c r="R108" s="14"/>
      <c r="S108" s="19"/>
      <c r="T108" s="18"/>
      <c r="U108" s="20"/>
      <c r="V108" s="20"/>
      <c r="W108" s="20"/>
    </row>
    <row r="109" spans="1:23" hidden="1">
      <c r="A109" s="5">
        <v>4</v>
      </c>
      <c r="B109" s="6" t="s">
        <v>164</v>
      </c>
      <c r="D109" s="14"/>
      <c r="E109" s="14"/>
      <c r="F109" s="14"/>
      <c r="G109" s="14"/>
      <c r="H109" s="18" t="s">
        <v>108</v>
      </c>
      <c r="I109" s="16">
        <v>3</v>
      </c>
      <c r="J109" s="14"/>
      <c r="K109" s="15" t="s">
        <v>107</v>
      </c>
      <c r="L109" s="14"/>
      <c r="M109" s="15" t="s">
        <v>106</v>
      </c>
      <c r="N109" s="14"/>
      <c r="O109" s="18" t="s">
        <v>88</v>
      </c>
      <c r="P109" s="14"/>
      <c r="Q109" s="14">
        <v>1</v>
      </c>
      <c r="R109" s="14"/>
      <c r="S109" s="19"/>
      <c r="T109" s="18"/>
      <c r="U109" s="20"/>
      <c r="V109" s="20"/>
      <c r="W109" s="20"/>
    </row>
    <row r="110" spans="1:23" hidden="1">
      <c r="A110" s="5">
        <v>5</v>
      </c>
      <c r="B110" s="6" t="s">
        <v>168</v>
      </c>
      <c r="D110" s="14"/>
      <c r="E110" s="14"/>
      <c r="F110" s="14"/>
      <c r="G110" s="14"/>
      <c r="H110" s="18" t="s">
        <v>105</v>
      </c>
      <c r="I110" s="16">
        <v>4</v>
      </c>
      <c r="J110" s="14"/>
      <c r="K110" s="15" t="s">
        <v>104</v>
      </c>
      <c r="L110" s="14"/>
      <c r="M110" s="15" t="s">
        <v>103</v>
      </c>
      <c r="N110" s="14"/>
      <c r="O110" s="18" t="s">
        <v>87</v>
      </c>
      <c r="P110" s="14"/>
      <c r="Q110" s="14">
        <v>2</v>
      </c>
      <c r="R110" s="14"/>
      <c r="S110" s="19"/>
      <c r="T110" s="18"/>
      <c r="U110" s="20"/>
      <c r="V110" s="20"/>
      <c r="W110" s="20"/>
    </row>
    <row r="111" spans="1:23" hidden="1">
      <c r="A111" s="5">
        <v>6</v>
      </c>
      <c r="B111" s="6" t="s">
        <v>169</v>
      </c>
      <c r="D111" s="14"/>
      <c r="E111" s="14"/>
      <c r="F111" s="14"/>
      <c r="G111" s="14"/>
      <c r="H111" s="18" t="s">
        <v>146</v>
      </c>
      <c r="I111" s="16">
        <v>5</v>
      </c>
      <c r="J111" s="14"/>
      <c r="K111" s="15" t="s">
        <v>249</v>
      </c>
      <c r="L111" s="14"/>
      <c r="M111" s="15" t="s">
        <v>102</v>
      </c>
      <c r="N111" s="14"/>
      <c r="O111" s="18" t="s">
        <v>85</v>
      </c>
      <c r="P111" s="14"/>
      <c r="Q111" s="14">
        <v>3</v>
      </c>
      <c r="R111" s="14"/>
      <c r="S111" s="19"/>
      <c r="T111" s="18"/>
      <c r="U111" s="20"/>
      <c r="V111" s="20"/>
      <c r="W111" s="20"/>
    </row>
    <row r="112" spans="1:23" hidden="1">
      <c r="A112" s="5">
        <v>7</v>
      </c>
      <c r="B112" s="6" t="s">
        <v>165</v>
      </c>
      <c r="D112" s="14"/>
      <c r="E112" s="14"/>
      <c r="F112" s="14"/>
      <c r="G112" s="14"/>
      <c r="H112" s="18" t="s">
        <v>147</v>
      </c>
      <c r="I112" s="16">
        <v>6</v>
      </c>
      <c r="J112" s="14"/>
      <c r="K112" s="15" t="s">
        <v>152</v>
      </c>
      <c r="L112" s="14"/>
      <c r="M112" s="15" t="s">
        <v>101</v>
      </c>
      <c r="N112" s="14"/>
      <c r="O112" s="18" t="s">
        <v>84</v>
      </c>
      <c r="P112" s="14"/>
      <c r="Q112" s="14">
        <v>1</v>
      </c>
      <c r="R112" s="14"/>
      <c r="S112" s="19"/>
      <c r="T112" s="18"/>
      <c r="U112" s="20"/>
      <c r="V112" s="20"/>
      <c r="W112" s="20"/>
    </row>
    <row r="113" spans="1:23" hidden="1">
      <c r="A113" s="14"/>
      <c r="B113" s="14"/>
      <c r="C113" s="14"/>
      <c r="D113" s="14"/>
      <c r="E113" s="14"/>
      <c r="F113" s="14"/>
      <c r="G113" s="14"/>
      <c r="H113" s="18" t="s">
        <v>148</v>
      </c>
      <c r="I113" s="16">
        <v>7</v>
      </c>
      <c r="J113" s="14"/>
      <c r="K113" s="15" t="s">
        <v>153</v>
      </c>
      <c r="L113" s="14"/>
      <c r="M113" s="15" t="s">
        <v>100</v>
      </c>
      <c r="N113" s="14"/>
      <c r="O113" s="18" t="s">
        <v>83</v>
      </c>
      <c r="P113" s="14"/>
      <c r="Q113" s="14">
        <v>2</v>
      </c>
      <c r="R113" s="14"/>
      <c r="S113" s="19"/>
      <c r="T113" s="18"/>
      <c r="U113" s="20"/>
      <c r="V113" s="20"/>
      <c r="W113" s="20"/>
    </row>
    <row r="114" spans="1:23" hidden="1">
      <c r="A114" s="14"/>
      <c r="B114" s="14"/>
      <c r="C114" s="14"/>
      <c r="D114" s="14"/>
      <c r="E114" s="14"/>
      <c r="F114" s="14"/>
      <c r="G114" s="14"/>
      <c r="H114" s="18" t="s">
        <v>149</v>
      </c>
      <c r="I114" s="16">
        <v>8</v>
      </c>
      <c r="J114" s="14"/>
      <c r="K114" s="15" t="s">
        <v>154</v>
      </c>
      <c r="L114" s="14"/>
      <c r="M114" s="15" t="s">
        <v>99</v>
      </c>
      <c r="N114" s="14"/>
      <c r="O114" s="18" t="s">
        <v>81</v>
      </c>
      <c r="P114" s="14"/>
      <c r="Q114" s="14">
        <v>3</v>
      </c>
      <c r="R114" s="14"/>
      <c r="S114" s="19"/>
      <c r="T114" s="18"/>
      <c r="U114" s="20"/>
      <c r="V114" s="20"/>
      <c r="W114" s="20"/>
    </row>
    <row r="115" spans="1:23" hidden="1">
      <c r="A115" s="14"/>
      <c r="B115" s="14"/>
      <c r="C115" s="14"/>
      <c r="D115" s="14"/>
      <c r="E115" s="14"/>
      <c r="F115" s="14"/>
      <c r="G115" s="14"/>
      <c r="H115" s="18" t="s">
        <v>98</v>
      </c>
      <c r="I115" s="16">
        <v>9</v>
      </c>
      <c r="J115" s="14"/>
      <c r="K115" s="15" t="s">
        <v>155</v>
      </c>
      <c r="L115" s="14"/>
      <c r="M115" s="15" t="s">
        <v>97</v>
      </c>
      <c r="N115" s="14"/>
      <c r="O115" s="18" t="s">
        <v>80</v>
      </c>
      <c r="P115" s="14"/>
      <c r="Q115" s="14">
        <v>4</v>
      </c>
      <c r="R115" s="14"/>
      <c r="S115" s="19"/>
      <c r="T115" s="18"/>
      <c r="U115" s="20"/>
      <c r="V115" s="20"/>
      <c r="W115" s="20"/>
    </row>
    <row r="116" spans="1:23" hidden="1">
      <c r="A116" s="14"/>
      <c r="B116" s="14"/>
      <c r="C116" s="14"/>
      <c r="D116" s="14"/>
      <c r="E116" s="14"/>
      <c r="F116" s="14"/>
      <c r="G116" s="14"/>
      <c r="H116" s="18" t="s">
        <v>288</v>
      </c>
      <c r="I116" s="16">
        <v>10</v>
      </c>
      <c r="J116" s="14"/>
      <c r="K116" s="15" t="s">
        <v>287</v>
      </c>
      <c r="L116" s="14"/>
      <c r="M116" s="15" t="s">
        <v>96</v>
      </c>
      <c r="N116" s="14"/>
      <c r="O116" s="18"/>
      <c r="P116" s="14"/>
      <c r="Q116" s="14"/>
      <c r="R116" s="14"/>
      <c r="S116" s="19"/>
      <c r="T116" s="18"/>
      <c r="U116" s="20"/>
      <c r="V116" s="20"/>
      <c r="W116" s="20"/>
    </row>
    <row r="117" spans="1:23" hidden="1">
      <c r="A117" s="14"/>
      <c r="B117" s="14"/>
      <c r="C117" s="14"/>
      <c r="D117" s="14"/>
      <c r="E117" s="14"/>
      <c r="F117" s="14"/>
      <c r="G117" s="14"/>
      <c r="H117" s="18" t="s">
        <v>150</v>
      </c>
      <c r="I117" s="16">
        <v>11</v>
      </c>
      <c r="J117" s="14"/>
      <c r="K117" s="15" t="s">
        <v>290</v>
      </c>
      <c r="L117" s="14"/>
      <c r="M117" s="15" t="s">
        <v>95</v>
      </c>
      <c r="N117" s="14"/>
      <c r="O117" s="18" t="s">
        <v>157</v>
      </c>
      <c r="P117" s="14"/>
      <c r="Q117" s="14">
        <v>4</v>
      </c>
      <c r="R117" s="14"/>
      <c r="S117" s="19"/>
      <c r="T117" s="18"/>
      <c r="U117" s="20"/>
      <c r="V117" s="20"/>
      <c r="W117" s="20"/>
    </row>
    <row r="118" spans="1:23" hidden="1">
      <c r="A118" s="14"/>
      <c r="B118" s="14"/>
      <c r="C118" s="14"/>
      <c r="D118" s="14"/>
      <c r="E118" s="14"/>
      <c r="F118" s="14"/>
      <c r="G118" s="14"/>
      <c r="H118" s="18" t="s">
        <v>151</v>
      </c>
      <c r="I118" s="16">
        <v>12</v>
      </c>
      <c r="J118" s="14"/>
      <c r="K118" s="15" t="s">
        <v>291</v>
      </c>
      <c r="L118" s="14"/>
      <c r="M118" s="15" t="s">
        <v>93</v>
      </c>
      <c r="N118" s="14"/>
      <c r="O118" s="18" t="s">
        <v>79</v>
      </c>
      <c r="P118" s="14"/>
      <c r="Q118" s="14">
        <v>5</v>
      </c>
      <c r="R118" s="14"/>
      <c r="S118" s="19"/>
      <c r="T118" s="18"/>
      <c r="U118" s="20"/>
      <c r="V118" s="20"/>
      <c r="W118" s="20"/>
    </row>
    <row r="119" spans="1:23" hidden="1">
      <c r="A119" s="14"/>
      <c r="B119" s="14"/>
      <c r="C119" s="14"/>
      <c r="D119" s="14"/>
      <c r="E119" s="14"/>
      <c r="F119" s="14"/>
      <c r="G119" s="14"/>
      <c r="H119" s="18" t="s">
        <v>94</v>
      </c>
      <c r="I119" s="16">
        <v>13</v>
      </c>
      <c r="J119" s="14"/>
      <c r="K119" s="15" t="s">
        <v>292</v>
      </c>
      <c r="L119" s="14"/>
      <c r="M119" s="15" t="s">
        <v>91</v>
      </c>
      <c r="N119" s="14"/>
      <c r="O119" s="18" t="s">
        <v>78</v>
      </c>
      <c r="P119" s="14"/>
      <c r="Q119" s="14">
        <v>6</v>
      </c>
      <c r="R119" s="14"/>
      <c r="S119" s="19"/>
      <c r="T119" s="18"/>
      <c r="U119" s="20"/>
      <c r="V119" s="20"/>
      <c r="W119" s="20"/>
    </row>
    <row r="120" spans="1:23" hidden="1">
      <c r="A120" s="14"/>
      <c r="B120" s="14"/>
      <c r="C120" s="14"/>
      <c r="D120" s="14"/>
      <c r="E120" s="14"/>
      <c r="F120" s="14"/>
      <c r="G120" s="14"/>
      <c r="H120" s="18"/>
      <c r="I120" s="16">
        <v>14</v>
      </c>
      <c r="J120" s="14"/>
      <c r="K120" s="15" t="s">
        <v>314</v>
      </c>
      <c r="L120" s="14"/>
      <c r="M120" s="15" t="s">
        <v>89</v>
      </c>
      <c r="N120" s="14"/>
      <c r="O120" s="18"/>
      <c r="P120" s="14"/>
      <c r="Q120" s="14"/>
      <c r="R120" s="14"/>
      <c r="S120" s="19"/>
      <c r="T120" s="18"/>
      <c r="U120" s="20"/>
      <c r="V120" s="20"/>
      <c r="W120" s="20"/>
    </row>
    <row r="121" spans="1:23" ht="15" hidden="1">
      <c r="A121" s="14"/>
      <c r="B121" s="17"/>
      <c r="C121" s="14"/>
      <c r="D121" s="17"/>
      <c r="E121" s="14"/>
      <c r="F121" s="14"/>
      <c r="G121" s="14"/>
      <c r="H121" s="18"/>
      <c r="I121" s="16">
        <v>15</v>
      </c>
      <c r="J121" s="14"/>
      <c r="K121" s="15" t="s">
        <v>315</v>
      </c>
      <c r="L121" s="14"/>
      <c r="M121" s="15" t="s">
        <v>289</v>
      </c>
      <c r="N121" s="14"/>
      <c r="O121" s="18"/>
      <c r="P121" s="14"/>
      <c r="Q121" s="14"/>
      <c r="R121" s="14"/>
      <c r="S121" s="19"/>
      <c r="T121" s="18"/>
      <c r="U121" s="20"/>
      <c r="V121" s="20"/>
      <c r="W121" s="20"/>
    </row>
    <row r="122" spans="1:23" hidden="1">
      <c r="A122" s="14"/>
      <c r="B122" s="14"/>
      <c r="C122" s="14"/>
      <c r="D122" s="14"/>
      <c r="E122" s="14"/>
      <c r="F122" s="14"/>
      <c r="G122" s="14"/>
      <c r="H122" s="18" t="s">
        <v>92</v>
      </c>
      <c r="I122" s="16">
        <v>16</v>
      </c>
      <c r="J122" s="14"/>
      <c r="K122" s="15" t="s">
        <v>310</v>
      </c>
      <c r="L122" s="14"/>
      <c r="M122" s="15" t="s">
        <v>312</v>
      </c>
      <c r="N122" s="14"/>
      <c r="O122" s="18" t="s">
        <v>156</v>
      </c>
      <c r="P122" s="14"/>
      <c r="Q122" s="14">
        <v>7</v>
      </c>
      <c r="R122" s="14"/>
      <c r="S122" s="19"/>
      <c r="T122" s="18"/>
      <c r="U122" s="20"/>
      <c r="V122" s="20"/>
      <c r="W122" s="20"/>
    </row>
    <row r="123" spans="1:23" hidden="1">
      <c r="A123" s="14"/>
      <c r="B123" s="14"/>
      <c r="C123" s="14"/>
      <c r="D123" s="14"/>
      <c r="E123" s="14"/>
      <c r="F123" s="14"/>
      <c r="G123" s="14"/>
      <c r="H123" s="18" t="s">
        <v>90</v>
      </c>
      <c r="I123" s="16">
        <v>17</v>
      </c>
      <c r="J123" s="14"/>
      <c r="K123" s="15" t="s">
        <v>311</v>
      </c>
      <c r="L123" s="14"/>
      <c r="M123" s="15" t="s">
        <v>313</v>
      </c>
      <c r="N123" s="14"/>
      <c r="O123" s="18" t="s">
        <v>74</v>
      </c>
      <c r="P123" s="14"/>
      <c r="Q123" s="14">
        <v>8</v>
      </c>
      <c r="R123" s="14"/>
      <c r="S123" s="19"/>
      <c r="T123" s="18"/>
      <c r="U123" s="20"/>
      <c r="V123" s="20"/>
      <c r="W123" s="20"/>
    </row>
    <row r="124" spans="1:23" hidden="1">
      <c r="A124" s="14"/>
      <c r="B124" s="14"/>
      <c r="C124" s="14"/>
      <c r="D124" s="14"/>
      <c r="E124" s="14"/>
      <c r="F124" s="14"/>
      <c r="G124" s="14"/>
      <c r="H124" s="132"/>
      <c r="I124" s="155"/>
      <c r="J124" s="14"/>
      <c r="K124" s="156"/>
      <c r="L124" s="14"/>
      <c r="M124" s="156"/>
      <c r="N124" s="14"/>
      <c r="O124" s="18" t="s">
        <v>71</v>
      </c>
      <c r="P124" s="14"/>
      <c r="Q124" s="14">
        <v>9</v>
      </c>
      <c r="R124" s="14"/>
      <c r="S124" s="19"/>
      <c r="T124" s="18"/>
      <c r="U124" s="20"/>
      <c r="V124" s="20"/>
      <c r="W124" s="20"/>
    </row>
    <row r="125" spans="1:23" ht="15" hidden="1">
      <c r="A125" s="14"/>
      <c r="B125" s="14"/>
      <c r="C125" s="14"/>
      <c r="D125" s="14"/>
      <c r="E125" s="14"/>
      <c r="F125" s="14"/>
      <c r="G125" s="14"/>
      <c r="H125" s="17" t="s">
        <v>50</v>
      </c>
      <c r="I125" s="14">
        <v>100</v>
      </c>
      <c r="J125" s="129" t="s">
        <v>51</v>
      </c>
      <c r="K125" s="156"/>
      <c r="L125" s="14"/>
      <c r="M125" s="156"/>
      <c r="N125" s="14"/>
      <c r="O125" s="18" t="s">
        <v>68</v>
      </c>
      <c r="P125" s="14"/>
      <c r="Q125" s="14">
        <v>10</v>
      </c>
      <c r="R125" s="14"/>
      <c r="S125" s="19"/>
      <c r="T125" s="18"/>
      <c r="U125" s="20"/>
      <c r="V125" s="20"/>
      <c r="W125" s="20"/>
    </row>
    <row r="126" spans="1:23" hidden="1">
      <c r="A126" s="14"/>
      <c r="B126" s="14" t="str">
        <f t="shared" ref="B126:B137" si="0">IF($B$224="1",K108,"")</f>
        <v/>
      </c>
      <c r="C126" s="14"/>
      <c r="D126" s="14" t="str">
        <f t="shared" ref="D126:D137" si="1">IF($D$224="1",K108,"")</f>
        <v/>
      </c>
      <c r="E126" s="14"/>
      <c r="F126" s="14"/>
      <c r="G126" s="14" t="s">
        <v>250</v>
      </c>
      <c r="H126" s="14" t="str">
        <f>IF(I48=H106,J107,IF(I48=K107,I107,IF(I48=K108,I108,IF(I48=K109,I109,IF(I48=K110,I110,IF(I48=K111,I111,IF(I48=K112,I112,IF(I48=K113,I113,IF(I48=K114,I114,IF(I48=K115,I115,IF(I48=K116,I116,IF(I48=K117,I117,IF(I48=K118,I118,IF(I48=K119,I119,IF(I48=K120,I120,IF(I48=K121,I121,IF(I48=K122,I122,IF(I48=K123,I123,""))))))))))))))))))</f>
        <v/>
      </c>
      <c r="I126" s="14"/>
      <c r="J126" s="130" t="str">
        <f>IF(O48=H106,J107,IF(O48=K107,I107,IF(O48=K108,I108,IF(O48=K109,I109,IF(O48=K110,I110,IF(O48=K111,I111,IF(O48=K112,I112,IF(O48=K113,I113,IF(O48=K114,I114,IF(O48=K115,I115,IF(O48=K116,I116,IF(O48=K117,I117,IF(O48=K118,I118,IF(O48=K119,I119,IF(O48=K120,I120,IF(O48=K121,I121,IF(O48=K122,I122,IF(O48=K123,I123,""))))))))))))))))))</f>
        <v/>
      </c>
      <c r="K126" s="14"/>
      <c r="L126" s="14"/>
      <c r="M126" s="14"/>
      <c r="N126" s="14"/>
      <c r="O126" s="18" t="s">
        <v>67</v>
      </c>
      <c r="P126" s="14"/>
      <c r="Q126" s="14">
        <v>11</v>
      </c>
      <c r="R126" s="14"/>
      <c r="S126" s="19"/>
      <c r="T126" s="18"/>
      <c r="U126" s="20"/>
      <c r="V126" s="20"/>
      <c r="W126" s="20"/>
    </row>
    <row r="127" spans="1:23" hidden="1">
      <c r="A127" s="14"/>
      <c r="B127" s="14" t="str">
        <f t="shared" si="0"/>
        <v/>
      </c>
      <c r="C127" s="14"/>
      <c r="D127" s="14" t="str">
        <f t="shared" si="1"/>
        <v/>
      </c>
      <c r="E127" s="14"/>
      <c r="F127" s="14" t="s">
        <v>251</v>
      </c>
      <c r="H127" s="14" t="str">
        <f>IF(I49=O107,(H126*I125)+Q107,IF(I49=O109,(H126*I125)+Q109,IF(I49=O108,(H126*I125)+Q108,IF(I49=O110,(H126*I125)+Q110,IF(I49=O111,(H126*I125)+Q111,IF(I49=O112,(H126*I125)+Q112,IF(I49=O113,(H126*I125)+Q113,IF(I49=O114,(H126*I125)+Q114,IF(I49=O115,(H126*I125)+Q115,IF(I49=O117,(H126*I125)+Q117,IF(I49=O118,(H126*I125)+Q118,IF(I49=O119,(H126*I125)+Q119,IF(I49=O122,(H126*I125)+Q122,IF(I49=O123,(H126*I125)+Q123,IF(I49=O124,(H126*I125)+Q124,IF(I49=O125,(H126*I125)+Q125,IF(I49=O126,(H126*I125)+Q126,IF(I49=O127,(H126*I125)+Q127,IF(I49=O128,(H126*I125)+Q128,IF(I49=O129,(H126*I125)+Q129,IF(I49=O130,(H126*I125)+Q130,IF(I49=O131,(H126*I125)+Q131,IF(I49=O132,(H126*I125)+Q132,IF(I49=O133,(H126*I125)+Q133,IF(I49=O134,(H126*I125)+Q134,IF(I49=O135,(H126*I125)+Q135,IF(I49=O136,(H126*I125)+Q136,"")))))))))))))))))))))))))))</f>
        <v/>
      </c>
      <c r="I127" s="14"/>
      <c r="J127" s="130" t="str">
        <f>IF(O49=O107,(J126*I125)+Q107,IF(O49=O109,(J126*I125)+Q109,IF(O49=O108,(J126*I125)+Q108,IF(O49=O110,(J126*I125)+Q110,IF(O49=O111,(J126*I125)+Q111,IF(O49=O112,(J126*I125)+Q112,IF(O49=O113,(J126*I125)+Q113,IF(O49=O114,(J126*I125)+Q114,IF(O49=O115,(J126*I125)+Q115,IF(O49=O117,(J126*I125)+Q117,IF(O49=O118,(J126*I125)+Q118,IF(O49=O119,(J126*I125)+Q119,IF(O49=O122,(J126*I125)+Q122,IF(O49=O123,(J126*I125)+Q123,IF(O49=O124,(J126*I125)+Q125,IF(O49=O125,(J126*I125)+Q124,IF(O49=O126,(J126*I125)+Q126,IF(O49=O127,(J126*I125)+Q127,IF(O49=O128,(J126*I125)+Q128,IF(O49=O129,(J126*I125)+Q129,IF(O49=O130,(J126*I125)+Q130,IF(O49=O131,(J126*I125)+Q131,IF(O49=O132,(J126*I125)+Q132,IF(O49=O133,(J126*I125)+Q133,IF(O49=O134,(J126*I125)+Q134,IF(O49=O135,(J126*I125)+Q135,IF(O49=O136,(J126*I125)+Q136,"")))))))))))))))))))))))))))</f>
        <v/>
      </c>
      <c r="K127" s="14"/>
      <c r="L127" s="14"/>
      <c r="M127" s="14"/>
      <c r="N127" s="14"/>
      <c r="O127" s="18" t="s">
        <v>66</v>
      </c>
      <c r="P127" s="14"/>
      <c r="Q127" s="14">
        <v>12</v>
      </c>
      <c r="R127" s="14"/>
      <c r="S127" s="19"/>
      <c r="T127" s="18"/>
      <c r="U127" s="20"/>
      <c r="V127" s="20"/>
      <c r="W127" s="20"/>
    </row>
    <row r="128" spans="1:23" hidden="1">
      <c r="A128" s="14"/>
      <c r="B128" s="14" t="str">
        <f t="shared" si="0"/>
        <v/>
      </c>
      <c r="C128" s="14"/>
      <c r="D128" s="14" t="str">
        <f t="shared" si="1"/>
        <v/>
      </c>
      <c r="E128" s="14"/>
      <c r="F128" s="14"/>
      <c r="G128" s="14"/>
      <c r="H128" s="14" t="str">
        <f>IF(H126=H106,J107,IF(H126=I107,O107,IF(H126=I108,O107,IF(H126=I109,O107,IF(H126=I110,O107,IF(H126=I111,O107,IF(H126=I112,O107,IF(H126=I113,O107,IF(H126=I114,O107,IF(H126=I115,O107,IF(H126=I116,O107,IF(H126=I117,O107,IF(H126=I118,O107,IF(H126=I119,O107,IF(H126=I122,O109,IF(H126=I123,O107,""))))))))))))))))</f>
        <v/>
      </c>
      <c r="I128" s="14"/>
      <c r="J128" s="130" t="str">
        <f>IF(J126=H106,J107,IF(J126=I107,O107,IF(J126=I108,O107,IF(J126=I109,O107,IF(J126=I110,O107,IF(J126=I111,O107,IF(J126=I112,O107,IF(J126=I113,O107,IF(J126=I114,O107,IF(J126=I115,O107,IF(J126=I116,O107,IF(J126=I117,O107,IF(J126=I118,O107,IF(J126=I119,O107,IF(J126=I122,O109,IF(J126=I123,O107,""))))))))))))))))</f>
        <v/>
      </c>
      <c r="K128" s="14"/>
      <c r="L128" s="14"/>
      <c r="M128" s="14"/>
      <c r="N128" s="14"/>
      <c r="O128" s="18" t="s">
        <v>65</v>
      </c>
      <c r="P128" s="14"/>
      <c r="Q128" s="14">
        <v>13</v>
      </c>
      <c r="R128" s="14"/>
      <c r="S128" s="19"/>
      <c r="T128" s="18"/>
      <c r="U128" s="20"/>
      <c r="V128" s="20"/>
      <c r="W128" s="20"/>
    </row>
    <row r="129" spans="1:23" hidden="1">
      <c r="A129" s="14"/>
      <c r="B129" s="14" t="str">
        <f t="shared" si="0"/>
        <v/>
      </c>
      <c r="C129" s="14"/>
      <c r="D129" s="14" t="str">
        <f t="shared" si="1"/>
        <v/>
      </c>
      <c r="E129" s="14"/>
      <c r="F129" s="14"/>
      <c r="G129" s="14"/>
      <c r="H129" s="14" t="str">
        <f>IF(H126=1,O108,IF(H126=2," ",IF(H126=3,O108,IF(H126&lt;10," ",IF(H126&lt;14,O108,IF(H126=16,O110,IF(H126=I123,O108,"")))))))</f>
        <v/>
      </c>
      <c r="I129" s="14"/>
      <c r="J129" s="130" t="str">
        <f>IF($J$126=1,O108,IF($J$126=2," ",IF($J$126=3,O108,IF($J$126&lt;10," ",IF($J$126&lt;14,O108,IF($J$126=16,O110,IF(J126=I123,O108,"")))))))</f>
        <v/>
      </c>
      <c r="K129" s="14"/>
      <c r="L129" s="14"/>
      <c r="M129" s="14"/>
      <c r="N129" s="14"/>
      <c r="O129" s="18" t="s">
        <v>64</v>
      </c>
      <c r="P129" s="14"/>
      <c r="Q129" s="14">
        <v>14</v>
      </c>
      <c r="R129" s="14"/>
      <c r="S129" s="19"/>
      <c r="T129" s="18"/>
      <c r="U129" s="20"/>
      <c r="V129" s="20"/>
      <c r="W129" s="20"/>
    </row>
    <row r="130" spans="1:23" hidden="1">
      <c r="A130" s="14"/>
      <c r="B130" s="14" t="str">
        <f t="shared" si="0"/>
        <v/>
      </c>
      <c r="C130" s="14"/>
      <c r="D130" s="14" t="str">
        <f t="shared" si="1"/>
        <v/>
      </c>
      <c r="E130" s="14"/>
      <c r="F130" s="14"/>
      <c r="G130" s="14"/>
      <c r="H130" s="14" t="str">
        <f>IF($H$126=16,O111,"")</f>
        <v/>
      </c>
      <c r="I130" s="14"/>
      <c r="J130" s="130" t="str">
        <f>IF($J$126=16,O111,"")</f>
        <v/>
      </c>
      <c r="K130" s="14"/>
      <c r="L130" s="14"/>
      <c r="M130" s="14"/>
      <c r="N130" s="14"/>
      <c r="O130" s="18" t="s">
        <v>63</v>
      </c>
      <c r="P130" s="14"/>
      <c r="Q130" s="14">
        <v>15</v>
      </c>
      <c r="R130" s="14"/>
      <c r="S130" s="19"/>
      <c r="T130" s="18"/>
      <c r="U130" s="20"/>
      <c r="V130" s="20"/>
      <c r="W130" s="20"/>
    </row>
    <row r="131" spans="1:23" hidden="1">
      <c r="A131" s="14"/>
      <c r="B131" s="14" t="str">
        <f t="shared" si="0"/>
        <v/>
      </c>
      <c r="C131" s="14"/>
      <c r="D131" s="14" t="str">
        <f t="shared" si="1"/>
        <v/>
      </c>
      <c r="E131" s="14"/>
      <c r="F131" s="14"/>
      <c r="G131" s="14"/>
      <c r="H131" s="14" t="str">
        <f>IF($H$126=14,O112,IF(H126=15,O112,""))</f>
        <v/>
      </c>
      <c r="I131" s="14"/>
      <c r="J131" s="130" t="str">
        <f>IF($J$126=14,O112,IF(J126=15,O112,""))</f>
        <v/>
      </c>
      <c r="K131" s="14"/>
      <c r="L131" s="14"/>
      <c r="M131" s="14"/>
      <c r="N131" s="14"/>
      <c r="O131" s="18" t="s">
        <v>62</v>
      </c>
      <c r="P131" s="14"/>
      <c r="Q131" s="14">
        <v>16</v>
      </c>
      <c r="R131" s="14"/>
      <c r="S131" s="19"/>
      <c r="T131" s="18"/>
      <c r="U131" s="20"/>
      <c r="V131" s="20"/>
      <c r="W131" s="20"/>
    </row>
    <row r="132" spans="1:23" hidden="1">
      <c r="A132" s="14"/>
      <c r="B132" s="14" t="str">
        <f t="shared" si="0"/>
        <v/>
      </c>
      <c r="C132" s="14"/>
      <c r="D132" s="14" t="str">
        <f t="shared" si="1"/>
        <v/>
      </c>
      <c r="E132" s="14"/>
      <c r="F132" s="14"/>
      <c r="G132" s="14"/>
      <c r="H132" s="14" t="str">
        <f>IF($H$126=14,O113,IF(H126=15,O113,""))</f>
        <v/>
      </c>
      <c r="I132" s="14"/>
      <c r="J132" s="130" t="str">
        <f>IF($J$126=14,O113,IF(J126=15,O113,""))</f>
        <v/>
      </c>
      <c r="K132" s="14"/>
      <c r="L132" s="14"/>
      <c r="M132" s="14"/>
      <c r="N132" s="14"/>
      <c r="O132" s="18" t="s">
        <v>61</v>
      </c>
      <c r="P132" s="14"/>
      <c r="Q132" s="14">
        <v>5</v>
      </c>
      <c r="R132" s="14"/>
      <c r="S132" s="19"/>
      <c r="T132" s="18"/>
      <c r="U132" s="20"/>
      <c r="V132" s="20"/>
      <c r="W132" s="20"/>
    </row>
    <row r="133" spans="1:23" hidden="1">
      <c r="A133" s="14"/>
      <c r="B133" s="14" t="str">
        <f t="shared" si="0"/>
        <v/>
      </c>
      <c r="C133" s="14"/>
      <c r="D133" s="14" t="str">
        <f t="shared" si="1"/>
        <v/>
      </c>
      <c r="E133" s="14"/>
      <c r="F133" s="14"/>
      <c r="G133" s="14"/>
      <c r="H133" s="14" t="str">
        <f>IF($H$126=14,O114,IF(H126=15,O114,""))</f>
        <v/>
      </c>
      <c r="I133" s="14"/>
      <c r="J133" s="130" t="str">
        <f>IF($J$126=14,O114,IF(J126=15,O114,""))</f>
        <v/>
      </c>
      <c r="K133" s="14"/>
      <c r="L133" s="14"/>
      <c r="M133" s="14"/>
      <c r="N133" s="14"/>
      <c r="O133" s="18" t="s">
        <v>60</v>
      </c>
      <c r="P133" s="14"/>
      <c r="Q133" s="14">
        <v>18</v>
      </c>
      <c r="R133" s="14"/>
      <c r="S133" s="19"/>
      <c r="T133" s="18"/>
      <c r="U133" s="20"/>
      <c r="V133" s="20"/>
      <c r="W133" s="20"/>
    </row>
    <row r="134" spans="1:23" hidden="1">
      <c r="A134" s="14"/>
      <c r="B134" s="14" t="str">
        <f t="shared" si="0"/>
        <v/>
      </c>
      <c r="C134" s="14"/>
      <c r="D134" s="14" t="str">
        <f t="shared" si="1"/>
        <v/>
      </c>
      <c r="E134" s="14"/>
      <c r="F134" s="14"/>
      <c r="G134" s="14"/>
      <c r="H134" s="14" t="str">
        <f>IF($H$126=14,O115,IF(H126=15,O115,""))</f>
        <v/>
      </c>
      <c r="I134" s="14"/>
      <c r="J134" s="130" t="str">
        <f>IF($J$126=14,O115,IF(J126=15,O115,""))</f>
        <v/>
      </c>
      <c r="K134" s="14"/>
      <c r="L134" s="14"/>
      <c r="M134" s="14"/>
      <c r="N134" s="14"/>
      <c r="O134" s="18" t="s">
        <v>59</v>
      </c>
      <c r="P134" s="14"/>
      <c r="Q134" s="14">
        <v>19</v>
      </c>
      <c r="R134" s="14"/>
      <c r="S134" s="19"/>
      <c r="T134" s="18"/>
      <c r="U134" s="20"/>
      <c r="V134" s="20"/>
      <c r="W134" s="20"/>
    </row>
    <row r="135" spans="1:23" hidden="1">
      <c r="A135" s="14"/>
      <c r="B135" s="14" t="str">
        <f t="shared" si="0"/>
        <v/>
      </c>
      <c r="C135" s="14"/>
      <c r="D135" s="14" t="str">
        <f t="shared" si="1"/>
        <v/>
      </c>
      <c r="E135" s="14"/>
      <c r="F135" s="14"/>
      <c r="G135" s="14"/>
      <c r="H135" s="14" t="str">
        <f>IF($H$126=16,O117,IF($H$126=14,O132,IF($H$126=15,O132,"")))</f>
        <v/>
      </c>
      <c r="I135" s="14"/>
      <c r="J135" s="130" t="str">
        <f>IF($J$126=16,O117,IF($J$126=14,O132,IF($J$126=15,O132,"")))</f>
        <v/>
      </c>
      <c r="K135" s="14"/>
      <c r="L135" s="14"/>
      <c r="M135" s="14"/>
      <c r="N135" s="14"/>
      <c r="O135" s="18" t="s">
        <v>58</v>
      </c>
      <c r="P135" s="14"/>
      <c r="Q135" s="14">
        <v>20</v>
      </c>
      <c r="R135" s="14"/>
      <c r="S135" s="19"/>
      <c r="T135" s="18"/>
      <c r="U135" s="20"/>
      <c r="V135" s="20"/>
      <c r="W135" s="20"/>
    </row>
    <row r="136" spans="1:23" hidden="1">
      <c r="A136" s="14"/>
      <c r="B136" s="14" t="str">
        <f t="shared" si="0"/>
        <v/>
      </c>
      <c r="C136" s="14"/>
      <c r="D136" s="14" t="str">
        <f t="shared" si="1"/>
        <v/>
      </c>
      <c r="E136" s="14"/>
      <c r="F136" s="14"/>
      <c r="G136" s="14"/>
      <c r="H136" s="14" t="str">
        <f>IF($H$126=16,O118,"")</f>
        <v/>
      </c>
      <c r="I136" s="14"/>
      <c r="J136" s="130" t="str">
        <f>IF($J$126=16,O118,"")</f>
        <v/>
      </c>
      <c r="K136" s="14"/>
      <c r="L136" s="14"/>
      <c r="M136" s="14"/>
      <c r="N136" s="14"/>
      <c r="O136" s="131" t="s">
        <v>57</v>
      </c>
      <c r="P136" s="14"/>
      <c r="Q136" s="14">
        <v>21</v>
      </c>
      <c r="R136" s="14"/>
      <c r="S136" s="19"/>
      <c r="T136" s="18"/>
      <c r="U136" s="20"/>
      <c r="V136" s="20"/>
      <c r="W136" s="20"/>
    </row>
    <row r="137" spans="1:23" hidden="1">
      <c r="A137" s="14"/>
      <c r="B137" s="14" t="str">
        <f t="shared" si="0"/>
        <v/>
      </c>
      <c r="C137" s="14"/>
      <c r="D137" s="14" t="str">
        <f t="shared" si="1"/>
        <v/>
      </c>
      <c r="E137" s="14"/>
      <c r="F137" s="14"/>
      <c r="G137" s="14"/>
      <c r="H137" s="14" t="str">
        <f>IF($H$126=16,O119,"")</f>
        <v/>
      </c>
      <c r="I137" s="14"/>
      <c r="J137" s="130" t="str">
        <f>IF($J$126=16,O119,"")</f>
        <v/>
      </c>
      <c r="K137" s="14"/>
      <c r="L137" s="14"/>
      <c r="M137" s="14"/>
      <c r="N137" s="14"/>
      <c r="O137" s="132"/>
      <c r="P137" s="14"/>
      <c r="Q137" s="14"/>
      <c r="R137" s="14"/>
      <c r="S137" s="19"/>
      <c r="T137" s="18"/>
      <c r="U137" s="20"/>
      <c r="V137" s="20"/>
      <c r="W137" s="20"/>
    </row>
    <row r="138" spans="1:23" hidden="1">
      <c r="A138" s="14"/>
      <c r="B138" s="14" t="str">
        <f>IF($B$224="1",K121,"")</f>
        <v/>
      </c>
      <c r="C138" s="14"/>
      <c r="D138" s="14" t="str">
        <f>IF($D$224="1",K121,"")</f>
        <v/>
      </c>
      <c r="E138" s="14"/>
      <c r="F138" s="14"/>
      <c r="G138" s="14"/>
      <c r="H138" s="14" t="str">
        <f t="shared" ref="H138:H146" si="2">IF($H$126=16,O122,"")</f>
        <v/>
      </c>
      <c r="I138" s="14"/>
      <c r="J138" s="130" t="str">
        <f t="shared" ref="J138:J147" si="3">IF($J$126=16,O122,"")</f>
        <v/>
      </c>
      <c r="K138" s="14"/>
      <c r="L138" s="14"/>
      <c r="M138" s="14"/>
      <c r="N138" s="14"/>
      <c r="O138" s="132"/>
      <c r="P138" s="14"/>
      <c r="Q138" s="14"/>
      <c r="R138" s="14"/>
      <c r="S138" s="19"/>
      <c r="T138" s="18"/>
      <c r="U138" s="20"/>
      <c r="V138" s="20"/>
      <c r="W138" s="20"/>
    </row>
    <row r="139" spans="1:23" hidden="1">
      <c r="A139" s="14"/>
      <c r="B139" s="14"/>
      <c r="C139" s="14"/>
      <c r="D139" s="14"/>
      <c r="E139" s="14"/>
      <c r="F139" s="14"/>
      <c r="G139" s="14"/>
      <c r="H139" s="14" t="str">
        <f t="shared" si="2"/>
        <v/>
      </c>
      <c r="I139" s="14"/>
      <c r="J139" s="130" t="str">
        <f t="shared" si="3"/>
        <v/>
      </c>
      <c r="K139" s="14"/>
      <c r="L139" s="14"/>
      <c r="M139" s="14"/>
      <c r="N139" s="14"/>
      <c r="O139" s="14"/>
      <c r="P139" s="14"/>
      <c r="Q139" s="14"/>
      <c r="R139" s="14"/>
      <c r="S139" s="19"/>
      <c r="T139" s="18"/>
      <c r="U139" s="20"/>
      <c r="V139" s="20"/>
      <c r="W139" s="20"/>
    </row>
    <row r="140" spans="1:23" hidden="1">
      <c r="A140" s="14"/>
      <c r="B140" s="14"/>
      <c r="C140" s="14"/>
      <c r="D140" s="14"/>
      <c r="E140" s="14"/>
      <c r="F140" s="14"/>
      <c r="G140" s="14"/>
      <c r="H140" s="14" t="str">
        <f t="shared" si="2"/>
        <v/>
      </c>
      <c r="I140" s="14"/>
      <c r="J140" s="130" t="str">
        <f t="shared" si="3"/>
        <v/>
      </c>
      <c r="K140" s="14"/>
      <c r="L140" s="14"/>
      <c r="M140" s="14"/>
      <c r="N140" s="14"/>
      <c r="O140" s="14"/>
      <c r="P140" s="14"/>
      <c r="Q140" s="14"/>
      <c r="R140" s="14"/>
      <c r="S140" s="19"/>
      <c r="T140" s="18"/>
      <c r="U140" s="20"/>
      <c r="V140" s="20"/>
      <c r="W140" s="20"/>
    </row>
    <row r="141" spans="1:23" hidden="1">
      <c r="A141" s="14"/>
      <c r="B141" s="14"/>
      <c r="C141" s="14"/>
      <c r="D141" s="14"/>
      <c r="E141" s="14"/>
      <c r="F141" s="14"/>
      <c r="G141" s="14"/>
      <c r="H141" s="14" t="str">
        <f t="shared" si="2"/>
        <v/>
      </c>
      <c r="I141" s="14"/>
      <c r="J141" s="130" t="str">
        <f t="shared" si="3"/>
        <v/>
      </c>
      <c r="K141" s="14"/>
      <c r="L141" s="14"/>
      <c r="M141" s="14"/>
      <c r="N141" s="14"/>
      <c r="O141" s="14"/>
      <c r="P141" s="14"/>
      <c r="Q141" s="14"/>
      <c r="R141" s="14"/>
      <c r="S141" s="19"/>
      <c r="T141" s="18"/>
      <c r="U141" s="20"/>
      <c r="V141" s="20"/>
      <c r="W141" s="20"/>
    </row>
    <row r="142" spans="1:23" hidden="1">
      <c r="A142" s="14"/>
      <c r="B142" s="14"/>
      <c r="C142" s="14"/>
      <c r="D142" s="14"/>
      <c r="E142" s="14"/>
      <c r="F142" s="14"/>
      <c r="G142" s="14"/>
      <c r="H142" s="14" t="str">
        <f t="shared" si="2"/>
        <v/>
      </c>
      <c r="I142" s="14"/>
      <c r="J142" s="130" t="str">
        <f t="shared" si="3"/>
        <v/>
      </c>
      <c r="K142" s="14"/>
      <c r="L142" s="14"/>
      <c r="M142" s="14"/>
      <c r="N142" s="14"/>
      <c r="O142" s="14"/>
      <c r="P142" s="14"/>
      <c r="Q142" s="14"/>
      <c r="R142" s="14"/>
      <c r="S142" s="19"/>
      <c r="T142" s="18"/>
      <c r="U142" s="20"/>
      <c r="V142" s="20"/>
      <c r="W142" s="20"/>
    </row>
    <row r="143" spans="1:23" hidden="1">
      <c r="A143" s="14"/>
      <c r="B143" s="14"/>
      <c r="C143" s="14"/>
      <c r="D143" s="14"/>
      <c r="E143" s="14"/>
      <c r="F143" s="14"/>
      <c r="G143" s="14"/>
      <c r="H143" s="14" t="str">
        <f t="shared" si="2"/>
        <v/>
      </c>
      <c r="I143" s="14"/>
      <c r="J143" s="130" t="str">
        <f t="shared" si="3"/>
        <v/>
      </c>
      <c r="K143" s="14"/>
      <c r="L143" s="14"/>
      <c r="M143" s="14"/>
      <c r="N143" s="14"/>
      <c r="O143" s="14"/>
      <c r="P143" s="14"/>
      <c r="Q143" s="14"/>
      <c r="R143" s="14"/>
      <c r="S143" s="19"/>
      <c r="T143" s="18"/>
      <c r="U143" s="20"/>
      <c r="V143" s="20"/>
      <c r="W143" s="20"/>
    </row>
    <row r="144" spans="1:23" hidden="1">
      <c r="A144" s="14"/>
      <c r="B144" s="14"/>
      <c r="C144" s="14"/>
      <c r="D144" s="14"/>
      <c r="E144" s="14"/>
      <c r="F144" s="14"/>
      <c r="G144" s="14"/>
      <c r="H144" s="14" t="str">
        <f t="shared" si="2"/>
        <v/>
      </c>
      <c r="I144" s="14"/>
      <c r="J144" s="130" t="str">
        <f t="shared" si="3"/>
        <v/>
      </c>
      <c r="K144" s="14"/>
      <c r="L144" s="14"/>
      <c r="M144" s="14"/>
      <c r="N144" s="14"/>
      <c r="O144" s="14"/>
      <c r="P144" s="14"/>
      <c r="Q144" s="14"/>
      <c r="R144" s="14"/>
      <c r="S144" s="19"/>
      <c r="T144" s="18"/>
      <c r="U144" s="20"/>
      <c r="V144" s="20"/>
      <c r="W144" s="20"/>
    </row>
    <row r="145" spans="1:23" hidden="1">
      <c r="A145" s="14"/>
      <c r="B145" s="14"/>
      <c r="C145" s="14"/>
      <c r="D145" s="14"/>
      <c r="E145" s="14"/>
      <c r="F145" s="14"/>
      <c r="G145" s="14"/>
      <c r="H145" s="14" t="str">
        <f t="shared" si="2"/>
        <v/>
      </c>
      <c r="I145" s="14"/>
      <c r="J145" s="130" t="str">
        <f t="shared" si="3"/>
        <v/>
      </c>
      <c r="K145" s="14"/>
      <c r="L145" s="14"/>
      <c r="M145" s="14"/>
      <c r="N145" s="14"/>
      <c r="O145" s="14"/>
      <c r="P145" s="14"/>
      <c r="Q145" s="14"/>
      <c r="R145" s="14"/>
      <c r="S145" s="19"/>
      <c r="T145" s="18"/>
      <c r="U145" s="20"/>
      <c r="V145" s="20"/>
      <c r="W145" s="20"/>
    </row>
    <row r="146" spans="1:23" hidden="1">
      <c r="A146" s="14"/>
      <c r="B146" s="14"/>
      <c r="C146" s="14"/>
      <c r="D146" s="14"/>
      <c r="E146" s="14"/>
      <c r="F146" s="14"/>
      <c r="G146" s="14"/>
      <c r="H146" s="14" t="str">
        <f t="shared" si="2"/>
        <v/>
      </c>
      <c r="I146" s="14"/>
      <c r="J146" s="130" t="str">
        <f t="shared" si="3"/>
        <v/>
      </c>
      <c r="K146" s="14"/>
      <c r="L146" s="14"/>
      <c r="M146" s="14"/>
      <c r="N146" s="14"/>
      <c r="O146" s="14"/>
      <c r="P146" s="14"/>
      <c r="Q146" s="14"/>
      <c r="R146" s="14"/>
      <c r="S146" s="19"/>
      <c r="T146" s="18"/>
      <c r="U146" s="20"/>
      <c r="V146" s="20"/>
      <c r="W146" s="20"/>
    </row>
    <row r="147" spans="1:23" hidden="1">
      <c r="A147" s="14"/>
      <c r="B147" s="14"/>
      <c r="C147" s="14"/>
      <c r="D147" s="14"/>
      <c r="E147" s="14"/>
      <c r="F147" s="14"/>
      <c r="G147" s="14"/>
      <c r="H147" s="14" t="str">
        <f>IF($H$126=16,O131,"")</f>
        <v/>
      </c>
      <c r="I147" s="14"/>
      <c r="J147" s="130" t="str">
        <f t="shared" si="3"/>
        <v/>
      </c>
      <c r="K147" s="14"/>
      <c r="L147" s="14"/>
      <c r="M147" s="14"/>
      <c r="N147" s="14"/>
      <c r="O147" s="14"/>
      <c r="P147" s="14"/>
      <c r="Q147" s="14"/>
      <c r="R147" s="14"/>
      <c r="S147" s="19"/>
      <c r="T147" s="18"/>
      <c r="U147" s="20"/>
      <c r="V147" s="20"/>
      <c r="W147" s="20"/>
    </row>
    <row r="148" spans="1:23" hidden="1">
      <c r="A148" s="14"/>
      <c r="B148" s="14"/>
      <c r="C148" s="14"/>
      <c r="D148" s="14"/>
      <c r="E148" s="14"/>
      <c r="F148" s="14"/>
      <c r="G148" s="14"/>
      <c r="H148" s="14" t="str">
        <f>IF($H$126=16,O133,"")</f>
        <v/>
      </c>
      <c r="I148" s="14"/>
      <c r="J148" s="130" t="str">
        <f>IF($J$126=16,O133,"")</f>
        <v/>
      </c>
      <c r="K148" s="14"/>
      <c r="L148" s="14"/>
      <c r="M148" s="14"/>
      <c r="N148" s="14"/>
      <c r="O148" s="14"/>
      <c r="P148" s="14"/>
      <c r="Q148" s="14"/>
      <c r="R148" s="14"/>
      <c r="S148" s="19"/>
      <c r="T148" s="18"/>
      <c r="U148" s="20"/>
      <c r="V148" s="20"/>
      <c r="W148" s="20"/>
    </row>
    <row r="149" spans="1:23" hidden="1">
      <c r="A149" s="14"/>
      <c r="B149" s="14"/>
      <c r="C149" s="14"/>
      <c r="D149" s="14"/>
      <c r="E149" s="14"/>
      <c r="F149" s="14"/>
      <c r="G149" s="14"/>
      <c r="H149" s="14" t="str">
        <f>IF($H$126=16,O134,"")</f>
        <v/>
      </c>
      <c r="I149" s="14"/>
      <c r="J149" s="130" t="str">
        <f>IF($J$126=16,O134,"")</f>
        <v/>
      </c>
      <c r="K149" s="14"/>
      <c r="L149" s="14"/>
      <c r="M149" s="14"/>
      <c r="N149" s="14"/>
      <c r="O149" s="14"/>
      <c r="P149" s="14"/>
      <c r="Q149" s="14"/>
      <c r="R149" s="14"/>
      <c r="S149" s="19"/>
      <c r="T149" s="18"/>
      <c r="U149" s="20"/>
      <c r="V149" s="20"/>
      <c r="W149" s="20"/>
    </row>
    <row r="150" spans="1:23" hidden="1">
      <c r="A150" s="14"/>
      <c r="B150" s="14"/>
      <c r="C150" s="14"/>
      <c r="D150" s="14"/>
      <c r="E150" s="14"/>
      <c r="F150" s="14"/>
      <c r="G150" s="14"/>
      <c r="H150" s="14" t="str">
        <f>IF($H$126=16,O135,"")</f>
        <v/>
      </c>
      <c r="I150" s="14"/>
      <c r="J150" s="130" t="str">
        <f>IF($J$126=16,O135,"")</f>
        <v/>
      </c>
      <c r="K150" s="14"/>
      <c r="L150" s="14"/>
      <c r="M150" s="14"/>
      <c r="N150" s="14"/>
      <c r="O150" s="14"/>
      <c r="P150" s="14"/>
      <c r="Q150" s="14"/>
      <c r="R150" s="14"/>
      <c r="S150" s="19"/>
      <c r="T150" s="18"/>
      <c r="U150" s="20"/>
      <c r="V150" s="20"/>
      <c r="W150" s="20"/>
    </row>
    <row r="151" spans="1:23" hidden="1">
      <c r="A151" s="14"/>
      <c r="B151" s="24"/>
      <c r="C151" s="14"/>
      <c r="D151" s="14"/>
      <c r="E151" s="14"/>
      <c r="F151" s="14"/>
      <c r="G151" s="14"/>
      <c r="H151" s="14" t="str">
        <f>IF($H$126=16,O136,"")</f>
        <v/>
      </c>
      <c r="I151" s="14"/>
      <c r="J151" s="130" t="str">
        <f>IF($J$126=16,O136,"")</f>
        <v/>
      </c>
      <c r="K151" s="14"/>
      <c r="L151" s="14"/>
      <c r="M151" s="14"/>
      <c r="N151" s="14"/>
      <c r="O151" s="14"/>
      <c r="P151" s="14"/>
      <c r="Q151" s="14"/>
      <c r="R151" s="14"/>
      <c r="S151" s="19"/>
      <c r="T151" s="18"/>
      <c r="U151" s="20"/>
      <c r="V151" s="20"/>
      <c r="W151" s="20"/>
    </row>
    <row r="152" spans="1:23" hidden="1">
      <c r="A152" s="14"/>
      <c r="B152" s="24"/>
      <c r="C152" s="14"/>
      <c r="D152" s="14"/>
      <c r="E152" s="14"/>
      <c r="F152" s="14"/>
      <c r="G152" s="14"/>
      <c r="H152" s="14" t="str">
        <f>IF($H$126=16,O137,"")</f>
        <v/>
      </c>
      <c r="I152" s="14"/>
      <c r="J152" s="130" t="str">
        <f>IF($J$126=16,O137,"")</f>
        <v/>
      </c>
      <c r="K152" s="14"/>
      <c r="L152" s="14"/>
      <c r="M152" s="14"/>
      <c r="N152" s="14"/>
      <c r="O152" s="14"/>
      <c r="P152" s="14"/>
      <c r="Q152" s="14"/>
      <c r="R152" s="14"/>
      <c r="S152" s="19"/>
      <c r="T152" s="18"/>
      <c r="U152" s="20"/>
      <c r="V152" s="20"/>
      <c r="W152" s="20"/>
    </row>
    <row r="153" spans="1:23" hidden="1">
      <c r="A153" s="14"/>
      <c r="B153" s="24"/>
      <c r="C153" s="14"/>
      <c r="D153" s="14"/>
      <c r="E153" s="14"/>
      <c r="F153" s="14"/>
      <c r="G153" s="14"/>
      <c r="H153" s="14" t="str">
        <f>IF($H$134=16,O138,"")</f>
        <v/>
      </c>
      <c r="I153" s="14"/>
      <c r="J153" s="130" t="str">
        <f>IF($J$134=16,O138,"")</f>
        <v/>
      </c>
      <c r="K153" s="14"/>
      <c r="L153" s="14"/>
      <c r="M153" s="14"/>
      <c r="N153" s="14"/>
      <c r="O153" s="14"/>
      <c r="P153" s="14"/>
      <c r="Q153" s="14"/>
      <c r="R153" s="14"/>
      <c r="S153" s="19"/>
      <c r="T153" s="18"/>
      <c r="U153" s="20"/>
      <c r="V153" s="20"/>
      <c r="W153" s="20"/>
    </row>
    <row r="154" spans="1:23" hidden="1">
      <c r="A154" s="14"/>
      <c r="B154" s="24"/>
      <c r="C154" s="14"/>
      <c r="D154" s="14"/>
      <c r="E154" s="14"/>
      <c r="F154" s="14"/>
      <c r="G154" s="14"/>
      <c r="H154" s="14" t="str">
        <f>IF($H$134=16,O139,"")</f>
        <v/>
      </c>
      <c r="I154" s="14"/>
      <c r="J154" s="130" t="str">
        <f>IF($J$134=16,O139,"")</f>
        <v/>
      </c>
      <c r="K154" s="14"/>
      <c r="L154" s="14"/>
      <c r="M154" s="14"/>
      <c r="N154" s="14"/>
      <c r="O154" s="14"/>
      <c r="P154" s="14"/>
      <c r="Q154" s="14"/>
      <c r="R154" s="14"/>
      <c r="S154" s="19"/>
      <c r="T154" s="18"/>
      <c r="U154" s="20"/>
      <c r="V154" s="20"/>
      <c r="W154" s="20"/>
    </row>
    <row r="155" spans="1:23" hidden="1"/>
    <row r="156" spans="1:23" hidden="1"/>
    <row r="157" spans="1:23" hidden="1"/>
    <row r="158" spans="1:23" hidden="1"/>
    <row r="159" spans="1:23" hidden="1"/>
    <row r="160" spans="1:23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</sheetData>
  <sheetProtection algorithmName="SHA-512" hashValue="Oo5tB5J1J5xBioGlRwzu8/5Kmq7nukqu3J1IFM6SC0PFK6adLohiA+JgUPp3VNItu/1OlDXCUYaryuXfIUUHCQ==" saltValue="2vz2TOzzLhbT0FT248heyQ==" spinCount="100000" sheet="1" formatRows="0"/>
  <mergeCells count="98">
    <mergeCell ref="M28:O28"/>
    <mergeCell ref="M29:O29"/>
    <mergeCell ref="A56:H56"/>
    <mergeCell ref="I56:K56"/>
    <mergeCell ref="L56:N56"/>
    <mergeCell ref="O56:Q56"/>
    <mergeCell ref="A51:H51"/>
    <mergeCell ref="I51:N51"/>
    <mergeCell ref="O51:T51"/>
    <mergeCell ref="A53:H54"/>
    <mergeCell ref="I53:N53"/>
    <mergeCell ref="O53:T53"/>
    <mergeCell ref="I54:K54"/>
    <mergeCell ref="L54:N54"/>
    <mergeCell ref="O54:Q54"/>
    <mergeCell ref="R54:T54"/>
    <mergeCell ref="R56:T56"/>
    <mergeCell ref="A55:H55"/>
    <mergeCell ref="I55:K55"/>
    <mergeCell ref="L55:N55"/>
    <mergeCell ref="O55:Q55"/>
    <mergeCell ref="R55:T55"/>
    <mergeCell ref="A45:T45"/>
    <mergeCell ref="A47:H47"/>
    <mergeCell ref="I47:N47"/>
    <mergeCell ref="O47:T47"/>
    <mergeCell ref="A48:H48"/>
    <mergeCell ref="I48:N48"/>
    <mergeCell ref="O48:T48"/>
    <mergeCell ref="A49:H49"/>
    <mergeCell ref="I49:N49"/>
    <mergeCell ref="O49:T49"/>
    <mergeCell ref="A50:H50"/>
    <mergeCell ref="I50:N50"/>
    <mergeCell ref="O50:T50"/>
    <mergeCell ref="A43:L43"/>
    <mergeCell ref="M43:O43"/>
    <mergeCell ref="P43:Q43"/>
    <mergeCell ref="A35:L35"/>
    <mergeCell ref="M35:O35"/>
    <mergeCell ref="A36:L36"/>
    <mergeCell ref="M36:O36"/>
    <mergeCell ref="A38:T38"/>
    <mergeCell ref="A40:L40"/>
    <mergeCell ref="M40:O40"/>
    <mergeCell ref="A41:L41"/>
    <mergeCell ref="M41:O41"/>
    <mergeCell ref="A42:L42"/>
    <mergeCell ref="M42:O42"/>
    <mergeCell ref="P42:Q42"/>
    <mergeCell ref="A34:L34"/>
    <mergeCell ref="M34:O34"/>
    <mergeCell ref="A22:T22"/>
    <mergeCell ref="A24:L24"/>
    <mergeCell ref="M24:O24"/>
    <mergeCell ref="A25:L25"/>
    <mergeCell ref="M25:O25"/>
    <mergeCell ref="A26:L26"/>
    <mergeCell ref="M26:O26"/>
    <mergeCell ref="A27:L27"/>
    <mergeCell ref="M27:O27"/>
    <mergeCell ref="A31:T31"/>
    <mergeCell ref="A33:L33"/>
    <mergeCell ref="M33:O33"/>
    <mergeCell ref="A28:L28"/>
    <mergeCell ref="A29:L29"/>
    <mergeCell ref="A20:E20"/>
    <mergeCell ref="F20:H20"/>
    <mergeCell ref="I20:L20"/>
    <mergeCell ref="A17:E17"/>
    <mergeCell ref="F17:H17"/>
    <mergeCell ref="I17:L17"/>
    <mergeCell ref="A18:E18"/>
    <mergeCell ref="F18:H18"/>
    <mergeCell ref="I18:L18"/>
    <mergeCell ref="F16:H16"/>
    <mergeCell ref="I16:L16"/>
    <mergeCell ref="A4:F4"/>
    <mergeCell ref="A5:T5"/>
    <mergeCell ref="A19:E19"/>
    <mergeCell ref="F19:H19"/>
    <mergeCell ref="I19:L19"/>
    <mergeCell ref="H103:I103"/>
    <mergeCell ref="V94:X94"/>
    <mergeCell ref="V95:X95"/>
    <mergeCell ref="A1:T1"/>
    <mergeCell ref="A2:T2"/>
    <mergeCell ref="A3:T3"/>
    <mergeCell ref="A6:T6"/>
    <mergeCell ref="B63:E63"/>
    <mergeCell ref="B64:E64"/>
    <mergeCell ref="A66:T66"/>
    <mergeCell ref="A10:T10"/>
    <mergeCell ref="A14:E14"/>
    <mergeCell ref="F14:H14"/>
    <mergeCell ref="I14:L14"/>
    <mergeCell ref="A15:I15"/>
    <mergeCell ref="A16:E16"/>
  </mergeCells>
  <conditionalFormatting sqref="M24:O26">
    <cfRule type="cellIs" dxfId="13" priority="14" operator="equal">
      <formula>""</formula>
    </cfRule>
  </conditionalFormatting>
  <conditionalFormatting sqref="I14:L14">
    <cfRule type="cellIs" dxfId="12" priority="13" operator="equal">
      <formula>""</formula>
    </cfRule>
  </conditionalFormatting>
  <conditionalFormatting sqref="A5:T5">
    <cfRule type="cellIs" dxfId="11" priority="12" operator="equal">
      <formula>""</formula>
    </cfRule>
  </conditionalFormatting>
  <conditionalFormatting sqref="A10:T10">
    <cfRule type="cellIs" dxfId="10" priority="11" operator="equal">
      <formula>""</formula>
    </cfRule>
  </conditionalFormatting>
  <conditionalFormatting sqref="M33:O34">
    <cfRule type="cellIs" dxfId="9" priority="10" operator="equal">
      <formula>""</formula>
    </cfRule>
  </conditionalFormatting>
  <conditionalFormatting sqref="M40:O41">
    <cfRule type="cellIs" dxfId="8" priority="9" operator="equal">
      <formula>""</formula>
    </cfRule>
  </conditionalFormatting>
  <conditionalFormatting sqref="P42:Q42">
    <cfRule type="cellIs" dxfId="7" priority="8" operator="equal">
      <formula>""</formula>
    </cfRule>
  </conditionalFormatting>
  <conditionalFormatting sqref="I48">
    <cfRule type="cellIs" dxfId="6" priority="7" operator="equal">
      <formula>""</formula>
    </cfRule>
  </conditionalFormatting>
  <conditionalFormatting sqref="I49">
    <cfRule type="cellIs" dxfId="5" priority="6" operator="equal">
      <formula>""</formula>
    </cfRule>
  </conditionalFormatting>
  <conditionalFormatting sqref="O48">
    <cfRule type="cellIs" dxfId="4" priority="5" operator="equal">
      <formula>""</formula>
    </cfRule>
  </conditionalFormatting>
  <conditionalFormatting sqref="O49">
    <cfRule type="cellIs" dxfId="3" priority="4" operator="equal">
      <formula>""</formula>
    </cfRule>
  </conditionalFormatting>
  <conditionalFormatting sqref="I16:L20">
    <cfRule type="cellIs" dxfId="2" priority="3" operator="equal">
      <formula>""</formula>
    </cfRule>
  </conditionalFormatting>
  <conditionalFormatting sqref="F20:H20">
    <cfRule type="cellIs" dxfId="1" priority="2" operator="equal">
      <formula>""</formula>
    </cfRule>
  </conditionalFormatting>
  <conditionalFormatting sqref="M42:O42">
    <cfRule type="cellIs" dxfId="0" priority="1" operator="equal">
      <formula>""</formula>
    </cfRule>
  </conditionalFormatting>
  <dataValidations disablePrompts="1" count="4">
    <dataValidation type="list" allowBlank="1" showInputMessage="1" showErrorMessage="1" sqref="I48 O48:T48" xr:uid="{00000000-0002-0000-0700-000000000000}">
      <formula1>$K$107:$K$123</formula1>
    </dataValidation>
    <dataValidation type="list" allowBlank="1" showInputMessage="1" showErrorMessage="1" sqref="P42:Q42" xr:uid="{00000000-0002-0000-0700-000001000000}">
      <formula1>$U$94:$U$95</formula1>
    </dataValidation>
    <dataValidation type="list" allowBlank="1" showInputMessage="1" showErrorMessage="1" sqref="I49:N49" xr:uid="{00000000-0002-0000-0700-000002000000}">
      <formula1>$H$128:$H$152</formula1>
    </dataValidation>
    <dataValidation type="list" allowBlank="1" showInputMessage="1" showErrorMessage="1" sqref="O49:T49" xr:uid="{00000000-0002-0000-0700-000003000000}">
      <formula1>$J$128:$J$152</formula1>
    </dataValidation>
  </dataValidations>
  <pageMargins left="0.7" right="0.7" top="0.75" bottom="0.75" header="0.3" footer="0.3"/>
  <pageSetup paperSize="9" scale="84" orientation="portrait" r:id="rId1"/>
  <headerFooter>
    <oddFooter>&amp;C&amp;"-,Standardowy"Strona &amp;P z &amp;N&amp;R&amp;"-,Standardowy"&amp;8v2022-4</oddFooter>
  </headerFooter>
  <rowBreaks count="1" manualBreakCount="1">
    <brk id="71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Y84"/>
  <sheetViews>
    <sheetView topLeftCell="R1" zoomScaleNormal="100" workbookViewId="0">
      <selection activeCell="T5" sqref="T5"/>
    </sheetView>
  </sheetViews>
  <sheetFormatPr defaultColWidth="9" defaultRowHeight="14.25"/>
  <cols>
    <col min="1" max="20" width="9" style="1"/>
    <col min="21" max="21" width="18.625" style="1" customWidth="1"/>
    <col min="22" max="16384" width="9" style="1"/>
  </cols>
  <sheetData>
    <row r="3" spans="2:25">
      <c r="B3" s="14"/>
      <c r="C3" s="14"/>
      <c r="D3" s="14"/>
      <c r="E3" s="14"/>
      <c r="F3" s="14"/>
      <c r="G3" s="14"/>
      <c r="H3" s="14"/>
      <c r="I3" s="228"/>
      <c r="J3" s="228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</row>
    <row r="4" spans="2:25" ht="15">
      <c r="B4" s="14"/>
      <c r="C4" s="14"/>
      <c r="D4" s="14"/>
      <c r="E4" s="14"/>
      <c r="F4" s="14"/>
      <c r="G4" s="14"/>
      <c r="H4" s="14"/>
      <c r="I4" s="17"/>
      <c r="J4" s="17"/>
      <c r="K4" s="14"/>
      <c r="M4" s="14"/>
      <c r="N4" s="14"/>
      <c r="O4" s="14"/>
      <c r="P4" s="14"/>
      <c r="Q4" s="14"/>
      <c r="R4" s="14"/>
      <c r="S4" s="14"/>
      <c r="T4" s="14"/>
      <c r="U4" s="14"/>
      <c r="V4" s="14" t="s">
        <v>252</v>
      </c>
      <c r="W4" s="14" t="s">
        <v>252</v>
      </c>
      <c r="X4" s="14" t="s">
        <v>253</v>
      </c>
      <c r="Y4" s="14"/>
    </row>
    <row r="5" spans="2:25" ht="16.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" t="s">
        <v>86</v>
      </c>
      <c r="W5" s="1" t="s">
        <v>258</v>
      </c>
      <c r="X5" s="1" t="s">
        <v>82</v>
      </c>
      <c r="Y5" s="14"/>
    </row>
    <row r="6" spans="2:25">
      <c r="B6" s="5"/>
      <c r="C6" s="6"/>
      <c r="E6" s="14"/>
      <c r="F6" s="6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>
        <v>100</v>
      </c>
      <c r="U6" s="14" t="s">
        <v>139</v>
      </c>
      <c r="V6" s="14">
        <v>0</v>
      </c>
      <c r="W6" s="14">
        <v>0</v>
      </c>
      <c r="X6" s="14">
        <v>0</v>
      </c>
      <c r="Y6" s="14"/>
    </row>
    <row r="7" spans="2:25">
      <c r="B7" s="5"/>
      <c r="C7" s="6"/>
      <c r="E7" s="14"/>
      <c r="F7" s="134"/>
      <c r="G7" s="14"/>
      <c r="H7" s="14"/>
      <c r="I7" s="132"/>
      <c r="J7" s="155"/>
      <c r="K7" s="14"/>
      <c r="L7" s="156"/>
      <c r="M7" s="14"/>
      <c r="N7" s="156"/>
      <c r="O7" s="14"/>
      <c r="P7" s="132"/>
      <c r="Q7" s="14"/>
      <c r="R7" s="14"/>
      <c r="S7" s="14"/>
      <c r="T7" s="19">
        <v>101</v>
      </c>
      <c r="U7" s="18" t="s">
        <v>56</v>
      </c>
      <c r="V7" s="20">
        <v>21.36</v>
      </c>
      <c r="W7" s="20">
        <v>0</v>
      </c>
      <c r="X7" s="20">
        <v>93.49</v>
      </c>
      <c r="Y7" s="14"/>
    </row>
    <row r="8" spans="2:25">
      <c r="B8" s="5"/>
      <c r="C8" s="6"/>
      <c r="E8" s="14"/>
      <c r="F8" s="14"/>
      <c r="G8" s="14"/>
      <c r="H8" s="14"/>
      <c r="I8" s="132"/>
      <c r="J8" s="155"/>
      <c r="K8" s="14"/>
      <c r="L8" s="156"/>
      <c r="M8" s="14"/>
      <c r="N8" s="156"/>
      <c r="O8" s="14"/>
      <c r="P8" s="132"/>
      <c r="Q8" s="14"/>
      <c r="R8" s="14"/>
      <c r="S8" s="14"/>
      <c r="T8" s="19">
        <v>102</v>
      </c>
      <c r="U8" s="18" t="s">
        <v>55</v>
      </c>
      <c r="V8" s="20">
        <v>7.89</v>
      </c>
      <c r="W8" s="20">
        <v>0</v>
      </c>
      <c r="X8" s="20">
        <v>111.7</v>
      </c>
      <c r="Y8" s="14"/>
    </row>
    <row r="9" spans="2:25">
      <c r="B9" s="5"/>
      <c r="C9" s="6"/>
      <c r="E9" s="14"/>
      <c r="F9" s="14"/>
      <c r="G9" s="14"/>
      <c r="H9" s="14"/>
      <c r="I9" s="132"/>
      <c r="J9" s="155"/>
      <c r="K9" s="14"/>
      <c r="L9" s="156"/>
      <c r="M9" s="14"/>
      <c r="N9" s="156"/>
      <c r="O9" s="14"/>
      <c r="P9" s="132"/>
      <c r="Q9" s="14"/>
      <c r="R9" s="14"/>
      <c r="S9" s="14"/>
      <c r="T9" s="19">
        <v>201</v>
      </c>
      <c r="U9" s="18" t="s">
        <v>56</v>
      </c>
      <c r="V9" s="20">
        <v>24.16</v>
      </c>
      <c r="W9" s="20">
        <v>0</v>
      </c>
      <c r="X9" s="20">
        <v>94.39</v>
      </c>
      <c r="Y9" s="14"/>
    </row>
    <row r="10" spans="2:25">
      <c r="B10" s="5"/>
      <c r="C10" s="6"/>
      <c r="E10" s="14"/>
      <c r="F10" s="14"/>
      <c r="G10" s="14"/>
      <c r="H10" s="14"/>
      <c r="I10" s="132"/>
      <c r="J10" s="155"/>
      <c r="K10" s="14"/>
      <c r="L10" s="156"/>
      <c r="M10" s="14"/>
      <c r="N10" s="156"/>
      <c r="O10" s="14"/>
      <c r="P10" s="132"/>
      <c r="Q10" s="14"/>
      <c r="R10" s="14"/>
      <c r="S10" s="14"/>
      <c r="T10" s="19">
        <v>301</v>
      </c>
      <c r="U10" s="18" t="s">
        <v>56</v>
      </c>
      <c r="V10" s="20">
        <v>21.76</v>
      </c>
      <c r="W10" s="20">
        <v>0</v>
      </c>
      <c r="X10" s="20">
        <v>94.94</v>
      </c>
      <c r="Y10" s="14"/>
    </row>
    <row r="11" spans="2:25">
      <c r="B11" s="5"/>
      <c r="C11" s="6"/>
      <c r="E11" s="14"/>
      <c r="F11" s="14"/>
      <c r="G11" s="14"/>
      <c r="H11" s="14"/>
      <c r="I11" s="132"/>
      <c r="J11" s="155"/>
      <c r="K11" s="14"/>
      <c r="L11" s="156"/>
      <c r="M11" s="14"/>
      <c r="N11" s="156"/>
      <c r="O11" s="14"/>
      <c r="P11" s="132"/>
      <c r="Q11" s="14"/>
      <c r="R11" s="14"/>
      <c r="S11" s="14"/>
      <c r="T11" s="19">
        <v>302</v>
      </c>
      <c r="U11" s="18" t="s">
        <v>55</v>
      </c>
      <c r="V11" s="20">
        <v>8.64</v>
      </c>
      <c r="W11" s="20">
        <v>0</v>
      </c>
      <c r="X11" s="20">
        <v>108.27</v>
      </c>
      <c r="Y11" s="14"/>
    </row>
    <row r="12" spans="2:25">
      <c r="B12" s="5"/>
      <c r="C12" s="6"/>
      <c r="E12" s="14"/>
      <c r="F12" s="14"/>
      <c r="G12" s="14"/>
      <c r="H12" s="14"/>
      <c r="I12" s="132"/>
      <c r="J12" s="155"/>
      <c r="K12" s="14"/>
      <c r="L12" s="156"/>
      <c r="M12" s="14"/>
      <c r="N12" s="156"/>
      <c r="O12" s="14"/>
      <c r="P12" s="132"/>
      <c r="Q12" s="14"/>
      <c r="R12" s="14"/>
      <c r="S12" s="14"/>
      <c r="T12" s="19">
        <v>401</v>
      </c>
      <c r="U12" s="18" t="s">
        <v>56</v>
      </c>
      <c r="V12" s="20">
        <v>29.63</v>
      </c>
      <c r="W12" s="20">
        <v>0</v>
      </c>
      <c r="X12" s="20">
        <v>93.48</v>
      </c>
      <c r="Y12" s="14"/>
    </row>
    <row r="13" spans="2:25">
      <c r="B13" s="14"/>
      <c r="C13" s="14"/>
      <c r="D13" s="14"/>
      <c r="E13" s="14"/>
      <c r="F13" s="14"/>
      <c r="G13" s="14"/>
      <c r="H13" s="14"/>
      <c r="I13" s="132"/>
      <c r="J13" s="155"/>
      <c r="K13" s="14"/>
      <c r="L13" s="156"/>
      <c r="M13" s="14"/>
      <c r="N13" s="156"/>
      <c r="O13" s="14"/>
      <c r="P13" s="132"/>
      <c r="Q13" s="14"/>
      <c r="R13" s="14"/>
      <c r="S13" s="14"/>
      <c r="T13" s="19">
        <v>501</v>
      </c>
      <c r="U13" s="18" t="s">
        <v>56</v>
      </c>
      <c r="V13" s="20">
        <v>25.76</v>
      </c>
      <c r="W13" s="20">
        <v>0</v>
      </c>
      <c r="X13" s="20">
        <v>94.09</v>
      </c>
      <c r="Y13" s="14"/>
    </row>
    <row r="14" spans="2:25">
      <c r="B14" s="14"/>
      <c r="C14" s="14"/>
      <c r="D14" s="14"/>
      <c r="E14" s="14"/>
      <c r="F14" s="14"/>
      <c r="G14" s="14"/>
      <c r="H14" s="14"/>
      <c r="I14" s="132"/>
      <c r="J14" s="155"/>
      <c r="K14" s="14"/>
      <c r="L14" s="156"/>
      <c r="M14" s="14"/>
      <c r="N14" s="156"/>
      <c r="O14" s="14"/>
      <c r="P14" s="132"/>
      <c r="Q14" s="14"/>
      <c r="R14" s="14"/>
      <c r="S14" s="14"/>
      <c r="T14" s="19">
        <v>601</v>
      </c>
      <c r="U14" s="18" t="s">
        <v>56</v>
      </c>
      <c r="V14" s="20">
        <v>24.94</v>
      </c>
      <c r="W14" s="20">
        <v>0</v>
      </c>
      <c r="X14" s="20">
        <v>94.24</v>
      </c>
      <c r="Y14" s="14"/>
    </row>
    <row r="15" spans="2:25" ht="26.25" customHeight="1">
      <c r="C15" s="338"/>
      <c r="D15" s="338"/>
      <c r="E15" s="338"/>
      <c r="H15" s="14"/>
      <c r="I15" s="132"/>
      <c r="J15" s="155"/>
      <c r="K15" s="14"/>
      <c r="L15" s="156"/>
      <c r="M15" s="14"/>
      <c r="N15" s="156"/>
      <c r="O15" s="14"/>
      <c r="P15" s="132"/>
      <c r="Q15" s="14"/>
      <c r="R15" s="14"/>
      <c r="S15" s="14"/>
      <c r="T15" s="19">
        <v>701</v>
      </c>
      <c r="U15" s="18" t="s">
        <v>56</v>
      </c>
      <c r="V15" s="20">
        <v>22.3</v>
      </c>
      <c r="W15" s="20">
        <v>0</v>
      </c>
      <c r="X15" s="20">
        <v>94.81</v>
      </c>
      <c r="Y15" s="14"/>
    </row>
    <row r="16" spans="2:25" ht="28.5" customHeight="1">
      <c r="C16" s="338"/>
      <c r="D16" s="338"/>
      <c r="E16" s="338"/>
      <c r="H16" s="14"/>
      <c r="I16" s="132"/>
      <c r="J16" s="155"/>
      <c r="K16" s="14"/>
      <c r="L16" s="156"/>
      <c r="M16" s="14"/>
      <c r="N16" s="156"/>
      <c r="O16" s="14"/>
      <c r="P16" s="132"/>
      <c r="Q16" s="14"/>
      <c r="R16" s="14"/>
      <c r="S16" s="14"/>
      <c r="T16" s="19">
        <v>801</v>
      </c>
      <c r="U16" s="18" t="s">
        <v>56</v>
      </c>
      <c r="V16" s="20">
        <v>22.72</v>
      </c>
      <c r="W16" s="20">
        <v>0</v>
      </c>
      <c r="X16" s="20">
        <v>94.71</v>
      </c>
      <c r="Y16" s="14"/>
    </row>
    <row r="17" spans="2:25">
      <c r="B17" s="14"/>
      <c r="C17" s="14"/>
      <c r="D17" s="14"/>
      <c r="E17" s="14"/>
      <c r="F17" s="14"/>
      <c r="G17" s="14"/>
      <c r="H17" s="14"/>
      <c r="I17" s="132"/>
      <c r="J17" s="155"/>
      <c r="K17" s="14"/>
      <c r="L17" s="156"/>
      <c r="M17" s="14"/>
      <c r="N17" s="156"/>
      <c r="O17" s="14"/>
      <c r="P17" s="132"/>
      <c r="Q17" s="14"/>
      <c r="R17" s="14"/>
      <c r="S17" s="14"/>
      <c r="T17" s="19">
        <v>901</v>
      </c>
      <c r="U17" s="18" t="s">
        <v>56</v>
      </c>
      <c r="V17" s="20">
        <v>23.82</v>
      </c>
      <c r="W17" s="20">
        <v>0</v>
      </c>
      <c r="X17" s="20">
        <v>94.46</v>
      </c>
      <c r="Y17" s="14"/>
    </row>
    <row r="18" spans="2:25">
      <c r="B18" s="14"/>
      <c r="C18" s="14"/>
      <c r="D18" s="14"/>
      <c r="E18" s="14"/>
      <c r="F18" s="14"/>
      <c r="G18" s="14"/>
      <c r="H18" s="14"/>
      <c r="I18" s="132"/>
      <c r="J18" s="155"/>
      <c r="K18" s="14"/>
      <c r="L18" s="156"/>
      <c r="M18" s="14"/>
      <c r="N18" s="156"/>
      <c r="O18" s="14"/>
      <c r="P18" s="132"/>
      <c r="Q18" s="14"/>
      <c r="R18" s="14"/>
      <c r="S18" s="14"/>
      <c r="T18" s="19">
        <v>1001</v>
      </c>
      <c r="U18" s="18" t="s">
        <v>56</v>
      </c>
      <c r="V18" s="20">
        <v>25.43</v>
      </c>
      <c r="W18" s="20">
        <v>0</v>
      </c>
      <c r="X18" s="20">
        <v>94.15</v>
      </c>
      <c r="Y18" s="14"/>
    </row>
    <row r="19" spans="2:25">
      <c r="B19" s="14"/>
      <c r="C19" s="14"/>
      <c r="D19" s="14"/>
      <c r="E19" s="14"/>
      <c r="F19" s="14"/>
      <c r="G19" s="14"/>
      <c r="H19" s="14"/>
      <c r="I19" s="132"/>
      <c r="J19" s="155"/>
      <c r="K19" s="14"/>
      <c r="L19" s="156"/>
      <c r="M19" s="14"/>
      <c r="N19" s="156"/>
      <c r="O19" s="14"/>
      <c r="P19" s="132"/>
      <c r="Q19" s="14"/>
      <c r="R19" s="14"/>
      <c r="S19" s="14"/>
      <c r="T19" s="19">
        <v>1002</v>
      </c>
      <c r="U19" s="18" t="s">
        <v>55</v>
      </c>
      <c r="V19" s="20">
        <v>11.51</v>
      </c>
      <c r="W19" s="20">
        <v>0</v>
      </c>
      <c r="X19" s="20">
        <v>98.55</v>
      </c>
      <c r="Y19" s="14"/>
    </row>
    <row r="20" spans="2:25">
      <c r="B20" s="14"/>
      <c r="C20" s="14"/>
      <c r="D20" s="14"/>
      <c r="E20" s="14"/>
      <c r="F20" s="14"/>
      <c r="G20" s="14"/>
      <c r="H20" s="14"/>
      <c r="I20" s="132"/>
      <c r="J20" s="155"/>
      <c r="K20" s="14"/>
      <c r="L20" s="156"/>
      <c r="M20" s="14"/>
      <c r="N20" s="156"/>
      <c r="O20" s="14"/>
      <c r="P20" s="132"/>
      <c r="Q20" s="14"/>
      <c r="R20" s="14"/>
      <c r="S20" s="14"/>
      <c r="T20" s="19">
        <v>1101</v>
      </c>
      <c r="U20" s="18" t="s">
        <v>56</v>
      </c>
      <c r="V20" s="20">
        <v>23.55</v>
      </c>
      <c r="W20" s="20">
        <v>0</v>
      </c>
      <c r="X20" s="20">
        <v>94.52</v>
      </c>
      <c r="Y20" s="14"/>
    </row>
    <row r="21" spans="2:25" ht="15">
      <c r="B21" s="14"/>
      <c r="C21" s="17"/>
      <c r="D21" s="14"/>
      <c r="E21" s="17"/>
      <c r="F21" s="14"/>
      <c r="G21" s="14"/>
      <c r="H21" s="14"/>
      <c r="I21" s="132"/>
      <c r="J21" s="155"/>
      <c r="K21" s="14"/>
      <c r="L21" s="156"/>
      <c r="M21" s="14"/>
      <c r="N21" s="156"/>
      <c r="O21" s="14"/>
      <c r="P21" s="132"/>
      <c r="Q21" s="14"/>
      <c r="R21" s="14"/>
      <c r="S21" s="14"/>
      <c r="T21" s="19">
        <v>1102</v>
      </c>
      <c r="U21" s="18" t="s">
        <v>55</v>
      </c>
      <c r="V21" s="20">
        <v>10.91</v>
      </c>
      <c r="W21" s="20">
        <v>0</v>
      </c>
      <c r="X21" s="20">
        <v>100.17</v>
      </c>
      <c r="Y21" s="14"/>
    </row>
    <row r="22" spans="2:2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32"/>
      <c r="Q22" s="14"/>
      <c r="R22" s="14"/>
      <c r="S22" s="14"/>
      <c r="T22" s="19">
        <v>1201</v>
      </c>
      <c r="U22" s="18" t="s">
        <v>56</v>
      </c>
      <c r="V22" s="20">
        <v>25.16</v>
      </c>
      <c r="W22" s="20">
        <v>0</v>
      </c>
      <c r="X22" s="20">
        <v>94.2</v>
      </c>
      <c r="Y22" s="14"/>
    </row>
    <row r="23" spans="2:25" ht="15">
      <c r="B23" s="14"/>
      <c r="C23" s="14"/>
      <c r="D23" s="14"/>
      <c r="E23" s="14"/>
      <c r="F23" s="14"/>
      <c r="G23" s="14"/>
      <c r="H23" s="14"/>
      <c r="I23" s="17"/>
      <c r="J23" s="14"/>
      <c r="K23" s="17"/>
      <c r="L23" s="14"/>
      <c r="M23" s="14"/>
      <c r="N23" s="14"/>
      <c r="O23" s="14"/>
      <c r="P23" s="132"/>
      <c r="Q23" s="14"/>
      <c r="R23" s="14"/>
      <c r="S23" s="14"/>
      <c r="T23" s="19">
        <v>1202</v>
      </c>
      <c r="U23" s="18" t="s">
        <v>55</v>
      </c>
      <c r="V23" s="20">
        <v>10</v>
      </c>
      <c r="W23" s="20">
        <v>0</v>
      </c>
      <c r="X23" s="20">
        <v>102.99</v>
      </c>
      <c r="Y23" s="14"/>
    </row>
    <row r="24" spans="2:2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32"/>
      <c r="Q24" s="14"/>
      <c r="R24" s="14"/>
      <c r="S24" s="14"/>
      <c r="T24" s="19">
        <v>1301</v>
      </c>
      <c r="U24" s="18" t="s">
        <v>56</v>
      </c>
      <c r="V24" s="181">
        <v>25.28</v>
      </c>
      <c r="W24" s="181">
        <v>0</v>
      </c>
      <c r="X24" s="181">
        <v>94.18</v>
      </c>
      <c r="Y24" s="14"/>
    </row>
    <row r="25" spans="2:25">
      <c r="B25" s="14"/>
      <c r="C25" s="14"/>
      <c r="D25" s="14"/>
      <c r="E25" s="14"/>
      <c r="F25" s="14"/>
      <c r="G25" s="14"/>
      <c r="I25" s="14"/>
      <c r="J25" s="14"/>
      <c r="K25" s="14"/>
      <c r="L25" s="14"/>
      <c r="M25" s="14"/>
      <c r="N25" s="14"/>
      <c r="O25" s="14"/>
      <c r="P25" s="132"/>
      <c r="Q25" s="14"/>
      <c r="R25" s="14"/>
      <c r="S25" s="14"/>
      <c r="T25" s="19">
        <v>1302</v>
      </c>
      <c r="U25" s="18" t="s">
        <v>55</v>
      </c>
      <c r="V25" s="181">
        <v>9.99</v>
      </c>
      <c r="W25" s="181">
        <v>0</v>
      </c>
      <c r="X25" s="181">
        <v>103</v>
      </c>
      <c r="Y25" s="14"/>
    </row>
    <row r="26" spans="2:25">
      <c r="B26" s="14"/>
      <c r="C26" s="14"/>
      <c r="D26" s="14"/>
      <c r="E26" s="14"/>
      <c r="F26" s="14"/>
      <c r="G26" s="14"/>
      <c r="I26" s="14"/>
      <c r="J26" s="14"/>
      <c r="K26" s="14"/>
      <c r="L26" s="14"/>
      <c r="M26" s="14"/>
      <c r="N26" s="14"/>
      <c r="O26" s="14"/>
      <c r="P26" s="132"/>
      <c r="Q26" s="14"/>
      <c r="R26" s="14"/>
      <c r="S26" s="14"/>
      <c r="T26" s="19">
        <v>1401</v>
      </c>
      <c r="U26" s="18" t="s">
        <v>84</v>
      </c>
      <c r="V26" s="20">
        <v>48</v>
      </c>
      <c r="W26" s="20">
        <v>0</v>
      </c>
      <c r="X26" s="20">
        <v>55.44</v>
      </c>
      <c r="Y26" s="14"/>
    </row>
    <row r="27" spans="2:2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32"/>
      <c r="Q27" s="14"/>
      <c r="R27" s="14"/>
      <c r="S27" s="14"/>
      <c r="T27" s="19">
        <v>1402</v>
      </c>
      <c r="U27" s="18" t="s">
        <v>83</v>
      </c>
      <c r="V27" s="20">
        <v>0</v>
      </c>
      <c r="W27" s="20">
        <v>36.56</v>
      </c>
      <c r="X27" s="20">
        <v>55.44</v>
      </c>
      <c r="Y27" s="14"/>
    </row>
    <row r="28" spans="2: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32"/>
      <c r="Q28" s="14"/>
      <c r="R28" s="14"/>
      <c r="S28" s="14"/>
      <c r="T28" s="19">
        <v>1403</v>
      </c>
      <c r="U28" s="18" t="s">
        <v>81</v>
      </c>
      <c r="V28" s="20">
        <v>0</v>
      </c>
      <c r="W28" s="20">
        <v>25.89</v>
      </c>
      <c r="X28" s="20">
        <v>55.44</v>
      </c>
      <c r="Y28" s="14"/>
    </row>
    <row r="29" spans="2:2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32"/>
      <c r="Q29" s="14"/>
      <c r="R29" s="14"/>
      <c r="S29" s="14"/>
      <c r="T29" s="19">
        <v>1404</v>
      </c>
      <c r="U29" s="18" t="s">
        <v>80</v>
      </c>
      <c r="V29" s="20">
        <v>0</v>
      </c>
      <c r="W29" s="20">
        <v>17.37</v>
      </c>
      <c r="X29" s="20">
        <v>55.44</v>
      </c>
      <c r="Y29" s="14"/>
    </row>
    <row r="30" spans="2:2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32"/>
      <c r="Q30" s="14"/>
      <c r="R30" s="14"/>
      <c r="S30" s="14"/>
      <c r="T30" s="19">
        <v>1405</v>
      </c>
      <c r="U30" s="18" t="s">
        <v>321</v>
      </c>
      <c r="V30" s="20">
        <v>40.4</v>
      </c>
      <c r="W30" s="20">
        <v>0</v>
      </c>
      <c r="X30" s="20">
        <v>76.56</v>
      </c>
      <c r="Y30" s="14"/>
    </row>
    <row r="31" spans="2:2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32"/>
      <c r="Q31" s="14"/>
      <c r="R31" s="14"/>
      <c r="S31" s="14"/>
      <c r="T31" s="19">
        <v>1501</v>
      </c>
      <c r="U31" s="18" t="s">
        <v>84</v>
      </c>
      <c r="V31" s="20">
        <v>48</v>
      </c>
      <c r="W31" s="20">
        <v>0</v>
      </c>
      <c r="X31" s="20">
        <v>55.33</v>
      </c>
      <c r="Y31" s="14"/>
    </row>
    <row r="32" spans="2: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32"/>
      <c r="Q32" s="14"/>
      <c r="R32" s="14"/>
      <c r="S32" s="14"/>
      <c r="T32" s="19">
        <v>1502</v>
      </c>
      <c r="U32" s="18" t="s">
        <v>83</v>
      </c>
      <c r="V32" s="20">
        <v>0</v>
      </c>
      <c r="W32" s="20">
        <v>36.56</v>
      </c>
      <c r="X32" s="20">
        <v>55.33</v>
      </c>
      <c r="Y32" s="14"/>
    </row>
    <row r="33" spans="2:2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32"/>
      <c r="Q33" s="14"/>
      <c r="R33" s="14"/>
      <c r="S33" s="14"/>
      <c r="T33" s="19">
        <v>1503</v>
      </c>
      <c r="U33" s="18" t="s">
        <v>81</v>
      </c>
      <c r="V33" s="20">
        <v>0</v>
      </c>
      <c r="W33" s="20">
        <v>25.89</v>
      </c>
      <c r="X33" s="20">
        <v>55.33</v>
      </c>
      <c r="Y33" s="14"/>
    </row>
    <row r="34" spans="2:2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32"/>
      <c r="Q34" s="14"/>
      <c r="R34" s="14"/>
      <c r="S34" s="14"/>
      <c r="T34" s="19">
        <v>1504</v>
      </c>
      <c r="U34" s="18" t="s">
        <v>80</v>
      </c>
      <c r="V34" s="20">
        <v>0</v>
      </c>
      <c r="W34" s="20">
        <v>17.37</v>
      </c>
      <c r="X34" s="20">
        <v>55.33</v>
      </c>
      <c r="Y34" s="14"/>
    </row>
    <row r="35" spans="2:2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32"/>
      <c r="Q35" s="14"/>
      <c r="R35" s="14"/>
      <c r="S35" s="14"/>
      <c r="T35" s="19">
        <v>1505</v>
      </c>
      <c r="U35" s="18" t="s">
        <v>321</v>
      </c>
      <c r="V35" s="20">
        <v>40.4</v>
      </c>
      <c r="W35" s="20">
        <v>0</v>
      </c>
      <c r="X35" s="20">
        <v>76.56</v>
      </c>
      <c r="Y35" s="14"/>
    </row>
    <row r="36" spans="2:25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32"/>
      <c r="Q36" s="14"/>
      <c r="R36" s="14"/>
      <c r="S36" s="14"/>
      <c r="T36" s="19">
        <v>1601</v>
      </c>
      <c r="U36" s="18" t="s">
        <v>88</v>
      </c>
      <c r="V36" s="20">
        <v>20.7</v>
      </c>
      <c r="W36" s="20">
        <v>0</v>
      </c>
      <c r="X36" s="20">
        <v>97.5</v>
      </c>
      <c r="Y36" s="14"/>
    </row>
    <row r="37" spans="2:25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32"/>
      <c r="Q37" s="14"/>
      <c r="R37" s="14"/>
      <c r="S37" s="14"/>
      <c r="T37" s="19">
        <v>1602</v>
      </c>
      <c r="U37" s="18" t="s">
        <v>87</v>
      </c>
      <c r="V37" s="20">
        <v>20.7</v>
      </c>
      <c r="W37" s="20">
        <v>0</v>
      </c>
      <c r="X37" s="20">
        <v>97.5</v>
      </c>
      <c r="Y37" s="14"/>
    </row>
    <row r="38" spans="2:25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32"/>
      <c r="Q38" s="14"/>
      <c r="R38" s="14"/>
      <c r="S38" s="14"/>
      <c r="T38" s="19">
        <v>1603</v>
      </c>
      <c r="U38" s="18" t="s">
        <v>85</v>
      </c>
      <c r="V38" s="20">
        <v>42.3</v>
      </c>
      <c r="W38" s="20">
        <v>0</v>
      </c>
      <c r="X38" s="20">
        <v>73.3</v>
      </c>
      <c r="Y38" s="14"/>
    </row>
    <row r="39" spans="2:25"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32"/>
      <c r="Q39" s="14"/>
      <c r="R39" s="14"/>
      <c r="S39" s="14"/>
      <c r="T39" s="19">
        <v>1604</v>
      </c>
      <c r="U39" s="18" t="s">
        <v>157</v>
      </c>
      <c r="V39" s="20">
        <v>15.6</v>
      </c>
      <c r="W39" s="20">
        <v>0</v>
      </c>
      <c r="X39" s="164">
        <v>0</v>
      </c>
      <c r="Y39" s="14" t="s">
        <v>328</v>
      </c>
    </row>
    <row r="40" spans="2:25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S40" s="14"/>
      <c r="T40" s="19">
        <v>1605</v>
      </c>
      <c r="U40" s="18" t="s">
        <v>79</v>
      </c>
      <c r="V40" s="20">
        <v>50.4</v>
      </c>
      <c r="W40" s="20">
        <v>0</v>
      </c>
      <c r="X40" s="20">
        <v>54.6</v>
      </c>
      <c r="Y40" s="14"/>
    </row>
    <row r="41" spans="2:25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32"/>
      <c r="Q41" s="14"/>
      <c r="S41" s="14"/>
      <c r="T41" s="19">
        <v>1606</v>
      </c>
      <c r="U41" s="18" t="s">
        <v>78</v>
      </c>
      <c r="V41" s="20">
        <v>0</v>
      </c>
      <c r="W41" s="20">
        <v>0</v>
      </c>
      <c r="X41" s="20">
        <v>143</v>
      </c>
      <c r="Y41" s="14"/>
    </row>
    <row r="42" spans="2:25"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32"/>
      <c r="Q42" s="14"/>
      <c r="R42" s="14"/>
      <c r="S42" s="14"/>
      <c r="T42" s="19">
        <v>1607</v>
      </c>
      <c r="U42" s="18" t="s">
        <v>156</v>
      </c>
      <c r="V42" s="20">
        <v>10</v>
      </c>
      <c r="W42" s="20">
        <v>0</v>
      </c>
      <c r="X42" s="20">
        <v>91.7</v>
      </c>
      <c r="Y42" s="14"/>
    </row>
    <row r="43" spans="2:25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9">
        <v>1608</v>
      </c>
      <c r="U43" s="18" t="s">
        <v>74</v>
      </c>
      <c r="V43" s="20">
        <v>11.6</v>
      </c>
      <c r="W43" s="20">
        <v>0</v>
      </c>
      <c r="X43" s="20">
        <v>100</v>
      </c>
      <c r="Y43" s="14"/>
    </row>
    <row r="44" spans="2:25"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9">
        <v>1609</v>
      </c>
      <c r="U44" s="18" t="s">
        <v>71</v>
      </c>
      <c r="V44" s="20">
        <v>40.200000000000003</v>
      </c>
      <c r="W44" s="20">
        <v>0</v>
      </c>
      <c r="X44" s="20">
        <v>73.3</v>
      </c>
      <c r="Y44" s="14"/>
    </row>
    <row r="45" spans="2:25"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9">
        <v>1610</v>
      </c>
      <c r="U45" s="18" t="s">
        <v>68</v>
      </c>
      <c r="V45" s="20">
        <v>32.5</v>
      </c>
      <c r="W45" s="20">
        <v>0</v>
      </c>
      <c r="X45" s="20">
        <v>97.5</v>
      </c>
      <c r="Y45" s="14"/>
    </row>
    <row r="46" spans="2:25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9">
        <v>1611</v>
      </c>
      <c r="U46" s="18" t="s">
        <v>67</v>
      </c>
      <c r="V46" s="20">
        <v>28.2</v>
      </c>
      <c r="W46" s="20">
        <v>0</v>
      </c>
      <c r="X46" s="20">
        <v>107</v>
      </c>
      <c r="Y46" s="14"/>
    </row>
    <row r="47" spans="2:25"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9">
        <v>1612</v>
      </c>
      <c r="U47" s="18" t="s">
        <v>66</v>
      </c>
      <c r="V47" s="20">
        <v>47.3</v>
      </c>
      <c r="W47" s="20">
        <v>0</v>
      </c>
      <c r="X47" s="20">
        <v>63.1</v>
      </c>
      <c r="Y47" s="14"/>
    </row>
    <row r="48" spans="2:25"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9">
        <v>1613</v>
      </c>
      <c r="U48" s="18" t="s">
        <v>65</v>
      </c>
      <c r="V48" s="20">
        <v>44.3</v>
      </c>
      <c r="W48" s="20">
        <v>0</v>
      </c>
      <c r="X48" s="20">
        <v>69.3</v>
      </c>
      <c r="Y48" s="14"/>
    </row>
    <row r="49" spans="2:25"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9">
        <v>1614</v>
      </c>
      <c r="U49" s="18" t="s">
        <v>64</v>
      </c>
      <c r="V49" s="20">
        <v>44.3</v>
      </c>
      <c r="W49" s="20">
        <v>0</v>
      </c>
      <c r="X49" s="20">
        <v>70</v>
      </c>
      <c r="Y49" s="14"/>
    </row>
    <row r="50" spans="2:25"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9">
        <v>1615</v>
      </c>
      <c r="U50" s="18" t="s">
        <v>63</v>
      </c>
      <c r="V50" s="20">
        <v>44.3</v>
      </c>
      <c r="W50" s="20">
        <v>0</v>
      </c>
      <c r="X50" s="20">
        <v>71.5</v>
      </c>
      <c r="Y50" s="14"/>
    </row>
    <row r="51" spans="2:25"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9">
        <v>1616</v>
      </c>
      <c r="U51" s="18" t="s">
        <v>62</v>
      </c>
      <c r="V51" s="20">
        <v>43</v>
      </c>
      <c r="W51" s="20">
        <v>0</v>
      </c>
      <c r="X51" s="20">
        <v>74.099999999999994</v>
      </c>
      <c r="Y51" s="14"/>
    </row>
    <row r="52" spans="2:25"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9">
        <v>1617</v>
      </c>
      <c r="U52" s="18" t="s">
        <v>60</v>
      </c>
      <c r="V52" s="20">
        <v>44.8</v>
      </c>
      <c r="W52" s="20">
        <v>0</v>
      </c>
      <c r="X52" s="20">
        <v>73.3</v>
      </c>
      <c r="Y52" s="14"/>
    </row>
    <row r="53" spans="2:25"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9">
        <v>1618</v>
      </c>
      <c r="U53" s="18" t="s">
        <v>59</v>
      </c>
      <c r="V53" s="20">
        <v>49.5</v>
      </c>
      <c r="W53" s="20">
        <v>0</v>
      </c>
      <c r="X53" s="20">
        <v>57.6</v>
      </c>
      <c r="Y53" s="14"/>
    </row>
    <row r="54" spans="2:25">
      <c r="B54" s="14"/>
      <c r="C54" s="2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9">
        <v>1619</v>
      </c>
      <c r="U54" s="18" t="s">
        <v>58</v>
      </c>
      <c r="V54" s="20">
        <v>38.700000000000003</v>
      </c>
      <c r="W54" s="20">
        <v>16.93</v>
      </c>
      <c r="X54" s="20">
        <v>44.4</v>
      </c>
      <c r="Y54" s="14"/>
    </row>
    <row r="55" spans="2:25">
      <c r="B55" s="14"/>
      <c r="C55" s="2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9">
        <v>1620</v>
      </c>
      <c r="U55" s="18" t="s">
        <v>57</v>
      </c>
      <c r="V55" s="20">
        <v>2.4700000000000002</v>
      </c>
      <c r="W55" s="20">
        <v>3.3</v>
      </c>
      <c r="X55" s="20">
        <v>260</v>
      </c>
      <c r="Y55" s="14"/>
    </row>
    <row r="56" spans="2:25">
      <c r="B56" s="14"/>
      <c r="C56" s="2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9">
        <v>1701</v>
      </c>
      <c r="U56" s="18" t="s">
        <v>56</v>
      </c>
      <c r="V56" s="20">
        <v>22.47</v>
      </c>
      <c r="W56" s="20">
        <v>0</v>
      </c>
      <c r="X56" s="20">
        <v>94.77</v>
      </c>
      <c r="Y56" s="14"/>
    </row>
    <row r="57" spans="2:25"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9">
        <v>1702</v>
      </c>
      <c r="U57" s="18" t="s">
        <v>55</v>
      </c>
      <c r="V57" s="20">
        <v>7.91</v>
      </c>
      <c r="W57" s="20">
        <v>0</v>
      </c>
      <c r="X57" s="20">
        <v>111.9</v>
      </c>
      <c r="Y57" s="14"/>
    </row>
    <row r="58" spans="2:25"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</row>
    <row r="59" spans="2:25"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</row>
    <row r="60" spans="2:25"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</row>
    <row r="61" spans="2:25"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</row>
    <row r="62" spans="2:25"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</row>
    <row r="63" spans="2:25"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</row>
    <row r="64" spans="2:25"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</row>
    <row r="65" spans="2:25"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</row>
    <row r="66" spans="2:25"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</row>
    <row r="67" spans="2:25"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</row>
    <row r="68" spans="2:25"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</row>
    <row r="69" spans="2:25"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</row>
    <row r="70" spans="2:25"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</row>
    <row r="71" spans="2:25"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</row>
    <row r="72" spans="2:25"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</row>
    <row r="73" spans="2:25"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</row>
    <row r="74" spans="2:25"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</row>
    <row r="75" spans="2:25">
      <c r="B75" s="14"/>
      <c r="C75" s="25"/>
      <c r="D75" s="22"/>
      <c r="E75" s="22"/>
      <c r="F75" s="22"/>
      <c r="G75" s="22"/>
      <c r="H75" s="14"/>
      <c r="I75" s="14"/>
      <c r="J75" s="25"/>
      <c r="K75" s="22"/>
      <c r="L75" s="22"/>
      <c r="M75" s="22"/>
      <c r="N75" s="22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</row>
    <row r="76" spans="2:25">
      <c r="B76" s="14"/>
      <c r="C76" s="25"/>
      <c r="D76" s="23"/>
      <c r="E76" s="23"/>
      <c r="F76" s="24"/>
      <c r="G76" s="14"/>
      <c r="H76" s="14"/>
      <c r="I76" s="14"/>
      <c r="J76" s="25"/>
      <c r="K76" s="23"/>
      <c r="L76" s="23"/>
      <c r="M76" s="2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</row>
    <row r="77" spans="2:25">
      <c r="B77" s="14"/>
      <c r="C77" s="25"/>
      <c r="D77" s="23"/>
      <c r="E77" s="23"/>
      <c r="F77" s="24"/>
      <c r="G77" s="14"/>
      <c r="H77" s="14"/>
      <c r="I77" s="14"/>
      <c r="J77" s="25"/>
      <c r="K77" s="23"/>
      <c r="L77" s="23"/>
      <c r="M77" s="2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</row>
    <row r="78" spans="2:25">
      <c r="B78" s="14"/>
      <c r="C78" s="25"/>
      <c r="D78" s="23"/>
      <c r="E78" s="23"/>
      <c r="F78" s="24"/>
      <c r="G78" s="14"/>
      <c r="H78" s="14"/>
      <c r="I78" s="14"/>
      <c r="J78" s="25"/>
      <c r="K78" s="23"/>
      <c r="L78" s="23"/>
      <c r="M78" s="2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</row>
    <row r="79" spans="2:25">
      <c r="B79" s="14"/>
      <c r="C79" s="25"/>
      <c r="D79" s="23"/>
      <c r="E79" s="23"/>
      <c r="F79" s="61"/>
      <c r="G79" s="14"/>
      <c r="H79" s="14"/>
      <c r="I79" s="14"/>
      <c r="J79" s="25"/>
      <c r="K79" s="23"/>
      <c r="L79" s="23"/>
      <c r="M79" s="61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</row>
    <row r="80" spans="2:25">
      <c r="B80" s="14"/>
      <c r="C80" s="25"/>
      <c r="D80" s="23"/>
      <c r="E80" s="23"/>
      <c r="F80" s="24"/>
      <c r="G80" s="14"/>
      <c r="H80" s="22"/>
      <c r="I80" s="14"/>
      <c r="J80" s="25"/>
      <c r="K80" s="23"/>
      <c r="L80" s="23"/>
      <c r="M80" s="2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</row>
    <row r="81" spans="2:25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</row>
    <row r="82" spans="2:25" ht="15">
      <c r="B82" s="14"/>
      <c r="C82" s="17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</row>
    <row r="83" spans="2:25">
      <c r="B83" s="14"/>
      <c r="C83" s="6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</row>
    <row r="84" spans="2:25"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</row>
  </sheetData>
  <sheetProtection algorithmName="SHA-512" hashValue="hUodzOufLjO35mmYvHIpm9pAMm+NP/6ulUQcYviUamVWh0L1aGkTgZuPAN5RiXwH6MPnK3L8YCp8j8+zGetKRQ==" saltValue="i4JNh6TlfPa6gv0KYLDImQ==" spinCount="100000" sheet="1" formatRows="0"/>
  <mergeCells count="3">
    <mergeCell ref="I3:J3"/>
    <mergeCell ref="C15:E15"/>
    <mergeCell ref="C16:E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P43"/>
  <sheetViews>
    <sheetView topLeftCell="A28" zoomScaleNormal="100" zoomScaleSheetLayoutView="98" workbookViewId="0">
      <selection activeCell="T15" sqref="T15"/>
    </sheetView>
  </sheetViews>
  <sheetFormatPr defaultColWidth="9" defaultRowHeight="14.25"/>
  <cols>
    <col min="1" max="1" width="9" style="1" customWidth="1"/>
    <col min="2" max="2" width="2.625" style="1" customWidth="1"/>
    <col min="3" max="4" width="9" style="1" customWidth="1"/>
    <col min="5" max="5" width="8.625" style="1" customWidth="1"/>
    <col min="6" max="6" width="6.375" style="1" customWidth="1"/>
    <col min="7" max="7" width="14.125" style="1" customWidth="1"/>
    <col min="8" max="8" width="9" style="1" customWidth="1"/>
    <col min="9" max="9" width="6.75" style="1" customWidth="1"/>
    <col min="10" max="10" width="7.5" style="1" customWidth="1"/>
    <col min="11" max="11" width="4.25" style="1" customWidth="1"/>
    <col min="12" max="12" width="1.875" style="1" customWidth="1"/>
    <col min="13" max="13" width="2.375" style="1" customWidth="1"/>
    <col min="14" max="14" width="9.375" style="1" customWidth="1"/>
    <col min="15" max="15" width="12" style="1" customWidth="1"/>
    <col min="16" max="16" width="39.25" style="1" customWidth="1"/>
    <col min="17" max="17" width="13.875" style="1" customWidth="1"/>
    <col min="18" max="18" width="11.25" style="1" customWidth="1"/>
    <col min="19" max="19" width="9.5" style="1" customWidth="1"/>
    <col min="20" max="20" width="8.75" style="1" customWidth="1"/>
    <col min="21" max="21" width="9" style="1" customWidth="1"/>
    <col min="22" max="22" width="8.125" style="1" customWidth="1"/>
    <col min="23" max="23" width="9.25" style="1" customWidth="1"/>
    <col min="24" max="24" width="9" style="1" customWidth="1"/>
    <col min="25" max="25" width="8.75" style="1" customWidth="1"/>
    <col min="26" max="26" width="9.25" style="1" customWidth="1"/>
    <col min="27" max="32" width="9" style="1" customWidth="1"/>
    <col min="33" max="16384" width="9" style="1"/>
  </cols>
  <sheetData>
    <row r="3" spans="3:16" ht="15.75">
      <c r="C3" s="375"/>
      <c r="D3" s="375"/>
      <c r="E3" s="375"/>
      <c r="F3" s="375"/>
      <c r="G3" s="375"/>
      <c r="H3" s="375"/>
      <c r="I3" s="375"/>
      <c r="J3" s="375"/>
      <c r="K3" s="375"/>
    </row>
    <row r="4" spans="3:16">
      <c r="C4" s="26"/>
      <c r="D4" s="26"/>
      <c r="E4" s="26"/>
      <c r="F4" s="26"/>
      <c r="G4" s="26"/>
      <c r="H4" s="26"/>
      <c r="I4" s="26"/>
      <c r="J4" s="26"/>
      <c r="K4" s="26"/>
    </row>
    <row r="5" spans="3:16" ht="8.25" customHeight="1">
      <c r="C5" s="375"/>
      <c r="D5" s="375"/>
      <c r="E5" s="375"/>
      <c r="F5" s="375"/>
      <c r="G5" s="375"/>
      <c r="H5" s="375"/>
      <c r="I5" s="375"/>
      <c r="J5" s="375"/>
      <c r="K5" s="375"/>
    </row>
    <row r="6" spans="3:16" ht="46.5" customHeight="1">
      <c r="C6" s="357" t="e">
        <f>"Parametry kotłowni przed modernizacją: paliwo - "&amp;TEXT(P7,0)&amp;", "&amp;TEXT(P8,0)&amp;", "&amp;TEXT(P9,0)&amp;", "&amp;TEXT(P10,0)&amp;", "&amp;TEXT(P11,0)&amp;", "&amp;TEXT(P12,0)&amp;".
Przy obliczeniach CO2 wykorzystano KOBIZE: "&amp;TEXT(P13,0)&amp;"."</f>
        <v>#REF!</v>
      </c>
      <c r="D6" s="357"/>
      <c r="E6" s="357"/>
      <c r="F6" s="357"/>
      <c r="G6" s="357"/>
      <c r="H6" s="357"/>
      <c r="I6" s="357"/>
      <c r="J6" s="358"/>
      <c r="K6" s="26"/>
      <c r="P6" s="1" t="e">
        <f>#REF!</f>
        <v>#REF!</v>
      </c>
    </row>
    <row r="7" spans="3:16" ht="57.75" customHeight="1">
      <c r="C7" s="357"/>
      <c r="D7" s="357"/>
      <c r="E7" s="357"/>
      <c r="F7" s="357"/>
      <c r="G7" s="357"/>
      <c r="H7" s="357"/>
      <c r="I7" s="357"/>
      <c r="J7" s="358"/>
      <c r="K7" s="26"/>
      <c r="P7" s="1" t="e">
        <f>IF(#REF!&lt;&gt;"NIEDOTYCZY",#REF!," ")</f>
        <v>#REF!</v>
      </c>
    </row>
    <row r="8" spans="3:16" ht="6" customHeight="1" thickBot="1">
      <c r="C8" s="27"/>
      <c r="D8" s="27"/>
      <c r="H8" s="26"/>
      <c r="I8" s="26"/>
      <c r="J8" s="26"/>
      <c r="K8" s="26"/>
      <c r="P8" s="1" t="e">
        <f>IF(#REF!&lt;&gt;"NIEDOTYCZY",#REF!," ")</f>
        <v>#REF!</v>
      </c>
    </row>
    <row r="9" spans="3:16" ht="15.75" thickTop="1" thickBot="1">
      <c r="C9" s="359" t="s">
        <v>115</v>
      </c>
      <c r="D9" s="353"/>
      <c r="E9" s="355" t="s">
        <v>116</v>
      </c>
      <c r="F9" s="356"/>
      <c r="G9" s="28" t="s">
        <v>117</v>
      </c>
      <c r="H9" s="353" t="s">
        <v>118</v>
      </c>
      <c r="I9" s="354"/>
      <c r="K9" s="26"/>
      <c r="P9" s="1" t="e">
        <f>IF(#REF!&lt;&gt;"NIEDOTYCZY",#REF!," ")</f>
        <v>#REF!</v>
      </c>
    </row>
    <row r="10" spans="3:16" ht="15" thickTop="1">
      <c r="C10" s="344" t="e">
        <f>IF(P6=0,0,#REF!)</f>
        <v>#REF!</v>
      </c>
      <c r="D10" s="345"/>
      <c r="E10" s="29" t="e">
        <f>#REF!</f>
        <v>#REF!</v>
      </c>
      <c r="F10" s="30" t="e">
        <f>G10/E10/C10</f>
        <v>#REF!</v>
      </c>
      <c r="G10" s="31" t="e">
        <f>#REF!</f>
        <v>#REF!</v>
      </c>
      <c r="H10" s="345" t="s">
        <v>119</v>
      </c>
      <c r="I10" s="346"/>
      <c r="K10" s="26"/>
      <c r="P10" s="1" t="e">
        <f>IF(#REF!&lt;&gt;"NIEDOTYCZY",#REF!," ")</f>
        <v>#REF!</v>
      </c>
    </row>
    <row r="11" spans="3:16" ht="15">
      <c r="C11" s="341" t="e">
        <f>C10</f>
        <v>#REF!</v>
      </c>
      <c r="D11" s="224"/>
      <c r="E11" s="32" t="e">
        <f>#REF!</f>
        <v>#REF!</v>
      </c>
      <c r="F11" s="13" t="e">
        <f>G11/E11/C11</f>
        <v>#REF!</v>
      </c>
      <c r="G11" s="33" t="e">
        <f>#REF!</f>
        <v>#REF!</v>
      </c>
      <c r="H11" s="224" t="s">
        <v>120</v>
      </c>
      <c r="I11" s="342"/>
      <c r="K11" s="26"/>
      <c r="P11" s="1" t="e">
        <f>IF(#REF!&lt;&gt;"NIEDOTYCZY",#REF!," ")</f>
        <v>#REF!</v>
      </c>
    </row>
    <row r="12" spans="3:16" ht="15">
      <c r="C12" s="341" t="e">
        <f>#REF!</f>
        <v>#REF!</v>
      </c>
      <c r="D12" s="224"/>
      <c r="E12" s="32"/>
      <c r="F12" s="13"/>
      <c r="G12" s="33">
        <f>KOBIZE!C53</f>
        <v>0</v>
      </c>
      <c r="H12" s="224" t="s">
        <v>121</v>
      </c>
      <c r="I12" s="342"/>
      <c r="K12" s="26"/>
      <c r="O12" s="34" t="e">
        <f>#REF!</f>
        <v>#REF!</v>
      </c>
      <c r="P12" s="1" t="e">
        <f>IF(#REF!&lt;&gt;"NIEDOTYCZY",#REF!," ")</f>
        <v>#REF!</v>
      </c>
    </row>
    <row r="13" spans="3:16">
      <c r="C13" s="341" t="e">
        <f>C11</f>
        <v>#REF!</v>
      </c>
      <c r="D13" s="224"/>
      <c r="E13" s="32" t="e">
        <f>#REF!</f>
        <v>#REF!</v>
      </c>
      <c r="F13" s="13" t="e">
        <f>IF(E13*C13&gt;0,G13/E13/C13," ")</f>
        <v>#REF!</v>
      </c>
      <c r="G13" s="33" t="e">
        <f>#REF!</f>
        <v>#REF!</v>
      </c>
      <c r="H13" s="224" t="s">
        <v>7</v>
      </c>
      <c r="I13" s="342"/>
      <c r="K13" s="26"/>
      <c r="P13" s="1" t="e">
        <f>#REF!</f>
        <v>#REF!</v>
      </c>
    </row>
    <row r="14" spans="3:16" ht="15" thickBot="1">
      <c r="C14" s="343" t="e">
        <f>C13</f>
        <v>#REF!</v>
      </c>
      <c r="D14" s="339"/>
      <c r="E14" s="35" t="e">
        <f>#REF!</f>
        <v>#REF!</v>
      </c>
      <c r="F14" s="36" t="e">
        <f>G14/E14/C14</f>
        <v>#REF!</v>
      </c>
      <c r="G14" s="37" t="e">
        <f>#REF!</f>
        <v>#REF!</v>
      </c>
      <c r="H14" s="339" t="s">
        <v>8</v>
      </c>
      <c r="I14" s="340"/>
      <c r="K14" s="26"/>
    </row>
    <row r="15" spans="3:16" ht="21.75" customHeight="1" thickTop="1"/>
    <row r="16" spans="3:16" ht="55.5" customHeight="1">
      <c r="C16" s="357" t="e">
        <f>"Parametry kotłowni po modernizacji: paliwo - "&amp;TEXT(P19,0)&amp;", "&amp;TEXT(P20,0)&amp;", "&amp;TEXT(P21,0)&amp;", "&amp;TEXT(P22,0)&amp;", "&amp;TEXT(P23,0)&amp;", "&amp;TEXT(P24,0)&amp;".
Przy obliczeniach CO2 wykorzystano KOBIZE "&amp;TEXT(P25,0)&amp;"."</f>
        <v>#REF!</v>
      </c>
      <c r="D16" s="357"/>
      <c r="E16" s="357"/>
      <c r="F16" s="357"/>
      <c r="G16" s="357"/>
      <c r="H16" s="357"/>
      <c r="I16" s="357"/>
      <c r="J16" s="358"/>
    </row>
    <row r="17" spans="3:16" ht="39" customHeight="1">
      <c r="C17" s="357"/>
      <c r="D17" s="357"/>
      <c r="E17" s="357"/>
      <c r="F17" s="357"/>
      <c r="G17" s="357"/>
      <c r="H17" s="357"/>
      <c r="I17" s="357"/>
      <c r="J17" s="358"/>
      <c r="P17" s="1" t="e">
        <f>#REF!</f>
        <v>#REF!</v>
      </c>
    </row>
    <row r="18" spans="3:16" ht="6.75" customHeight="1" thickBot="1">
      <c r="C18" s="27"/>
      <c r="D18" s="27"/>
      <c r="H18" s="26"/>
      <c r="I18" s="26"/>
      <c r="J18" s="26"/>
    </row>
    <row r="19" spans="3:16" ht="15.75" thickTop="1" thickBot="1">
      <c r="C19" s="359" t="s">
        <v>115</v>
      </c>
      <c r="D19" s="353"/>
      <c r="E19" s="355" t="s">
        <v>116</v>
      </c>
      <c r="F19" s="356"/>
      <c r="G19" s="28" t="s">
        <v>117</v>
      </c>
      <c r="H19" s="353" t="s">
        <v>118</v>
      </c>
      <c r="I19" s="354"/>
      <c r="K19" s="38"/>
      <c r="P19" s="1" t="e">
        <f>IF(#REF!&lt;&gt;"NIEDOTYCZY",#REF!," ")</f>
        <v>#REF!</v>
      </c>
    </row>
    <row r="20" spans="3:16" ht="15" thickTop="1">
      <c r="C20" s="344" t="e">
        <f>IF(P17=0,0,#REF!)</f>
        <v>#REF!</v>
      </c>
      <c r="D20" s="345"/>
      <c r="E20" s="29" t="e">
        <f>#REF!</f>
        <v>#REF!</v>
      </c>
      <c r="F20" s="30" t="e">
        <f>G20/E20/C20</f>
        <v>#REF!</v>
      </c>
      <c r="G20" s="31" t="e">
        <f>#REF!</f>
        <v>#REF!</v>
      </c>
      <c r="H20" s="345" t="s">
        <v>119</v>
      </c>
      <c r="I20" s="346"/>
      <c r="K20" s="38"/>
      <c r="P20" s="1" t="e">
        <f>IF(#REF!&lt;&gt;"NIEDOTYCZY",#REF!," ")</f>
        <v>#REF!</v>
      </c>
    </row>
    <row r="21" spans="3:16" ht="15">
      <c r="C21" s="341" t="e">
        <f>C20</f>
        <v>#REF!</v>
      </c>
      <c r="D21" s="224"/>
      <c r="E21" s="32" t="e">
        <f>#REF!</f>
        <v>#REF!</v>
      </c>
      <c r="F21" s="13" t="e">
        <f>G21/E21/C21</f>
        <v>#REF!</v>
      </c>
      <c r="G21" s="33" t="e">
        <f>#REF!</f>
        <v>#REF!</v>
      </c>
      <c r="H21" s="224" t="s">
        <v>120</v>
      </c>
      <c r="I21" s="342"/>
      <c r="K21" s="38"/>
      <c r="P21" s="1" t="e">
        <f>IF(#REF!&lt;&gt;"NIEDOTYCZY",#REF!," ")</f>
        <v>#REF!</v>
      </c>
    </row>
    <row r="22" spans="3:16" ht="15">
      <c r="C22" s="341" t="e">
        <f>#REF!</f>
        <v>#REF!</v>
      </c>
      <c r="D22" s="224"/>
      <c r="E22" s="32"/>
      <c r="F22" s="13"/>
      <c r="G22" s="33">
        <f>KOBIZE!F53</f>
        <v>0</v>
      </c>
      <c r="H22" s="224" t="s">
        <v>121</v>
      </c>
      <c r="I22" s="342"/>
      <c r="K22" s="38"/>
      <c r="O22" s="34" t="e">
        <f>#REF!</f>
        <v>#REF!</v>
      </c>
      <c r="P22" s="1" t="e">
        <f>IF(#REF!&lt;&gt;"NIEDOTYCZY",#REF!," ")</f>
        <v>#REF!</v>
      </c>
    </row>
    <row r="23" spans="3:16">
      <c r="C23" s="341" t="e">
        <f>C21</f>
        <v>#REF!</v>
      </c>
      <c r="D23" s="224"/>
      <c r="E23" s="32" t="e">
        <f>#REF!</f>
        <v>#REF!</v>
      </c>
      <c r="F23" s="13" t="e">
        <f>IF(E23*C23&gt;0,G23/E23/C23," ")</f>
        <v>#REF!</v>
      </c>
      <c r="G23" s="33" t="e">
        <f>#REF!</f>
        <v>#REF!</v>
      </c>
      <c r="H23" s="224" t="s">
        <v>7</v>
      </c>
      <c r="I23" s="342"/>
      <c r="K23" s="38"/>
      <c r="P23" s="1" t="e">
        <f>IF(#REF!&lt;&gt;"NIEDOTYCZY",#REF!," ")</f>
        <v>#REF!</v>
      </c>
    </row>
    <row r="24" spans="3:16" ht="15" thickBot="1">
      <c r="C24" s="343" t="e">
        <f>C23</f>
        <v>#REF!</v>
      </c>
      <c r="D24" s="339"/>
      <c r="E24" s="35" t="e">
        <f>#REF!</f>
        <v>#REF!</v>
      </c>
      <c r="F24" s="36" t="e">
        <f>G24/E24/C24</f>
        <v>#REF!</v>
      </c>
      <c r="G24" s="37" t="e">
        <f>#REF!</f>
        <v>#REF!</v>
      </c>
      <c r="H24" s="339" t="s">
        <v>8</v>
      </c>
      <c r="I24" s="340"/>
      <c r="K24" s="38"/>
      <c r="P24" s="1" t="e">
        <f>IF(#REF!&lt;&gt;"NIEDOTYCZY",#REF!," ")</f>
        <v>#REF!</v>
      </c>
    </row>
    <row r="25" spans="3:16" ht="15" thickTop="1">
      <c r="K25" s="39"/>
      <c r="P25" s="1" t="e">
        <f>#REF!</f>
        <v>#REF!</v>
      </c>
    </row>
    <row r="26" spans="3:16">
      <c r="H26" s="26"/>
      <c r="I26" s="26"/>
      <c r="K26" s="26"/>
    </row>
    <row r="27" spans="3:16">
      <c r="C27" s="26" t="s">
        <v>122</v>
      </c>
      <c r="D27" s="26"/>
      <c r="E27" s="26"/>
      <c r="F27" s="26"/>
      <c r="G27" s="26"/>
      <c r="H27" s="26"/>
      <c r="I27" s="26"/>
      <c r="J27" s="26"/>
      <c r="K27" s="26"/>
    </row>
    <row r="28" spans="3:16">
      <c r="C28" s="26"/>
      <c r="D28" s="26"/>
      <c r="E28" s="26"/>
      <c r="F28" s="26"/>
      <c r="G28" s="26"/>
      <c r="H28" s="26"/>
      <c r="I28" s="26"/>
      <c r="J28" s="26"/>
      <c r="K28" s="26"/>
    </row>
    <row r="29" spans="3:16">
      <c r="C29" s="366" t="s">
        <v>123</v>
      </c>
      <c r="D29" s="367"/>
      <c r="E29" s="363" t="s">
        <v>124</v>
      </c>
      <c r="F29" s="364"/>
      <c r="G29" s="365"/>
      <c r="H29" s="363" t="s">
        <v>125</v>
      </c>
      <c r="I29" s="364"/>
      <c r="J29" s="348"/>
    </row>
    <row r="30" spans="3:16">
      <c r="C30" s="368"/>
      <c r="D30" s="367"/>
      <c r="E30" s="40" t="s">
        <v>132</v>
      </c>
      <c r="F30" s="41"/>
      <c r="G30" s="42" t="s">
        <v>126</v>
      </c>
      <c r="H30" s="347" t="s">
        <v>127</v>
      </c>
      <c r="I30" s="348"/>
      <c r="J30" s="43" t="s">
        <v>128</v>
      </c>
    </row>
    <row r="31" spans="3:16" ht="15.75">
      <c r="C31" s="369" t="s">
        <v>129</v>
      </c>
      <c r="D31" s="370"/>
      <c r="E31" s="360" t="e">
        <f>G10</f>
        <v>#REF!</v>
      </c>
      <c r="F31" s="361"/>
      <c r="G31" s="44" t="e">
        <f>G20</f>
        <v>#REF!</v>
      </c>
      <c r="H31" s="349" t="e">
        <f>IF(E31&gt;G31,E31-G31,0)</f>
        <v>#REF!</v>
      </c>
      <c r="I31" s="350"/>
      <c r="J31" s="45" t="e">
        <f>IF(E31&lt;&gt;0,(H31/E31)*100,0)</f>
        <v>#REF!</v>
      </c>
    </row>
    <row r="32" spans="3:16" ht="15.75">
      <c r="C32" s="371" t="s">
        <v>130</v>
      </c>
      <c r="D32" s="372"/>
      <c r="E32" s="360" t="e">
        <f>G11</f>
        <v>#REF!</v>
      </c>
      <c r="F32" s="361"/>
      <c r="G32" s="44" t="e">
        <f>G21</f>
        <v>#REF!</v>
      </c>
      <c r="H32" s="351" t="e">
        <f>IF(E32&gt;G32,E32-G32,0)</f>
        <v>#REF!</v>
      </c>
      <c r="I32" s="352"/>
      <c r="J32" s="45" t="e">
        <f>IF(E32&lt;&gt;0,(H32/E32)*100,0)</f>
        <v>#REF!</v>
      </c>
    </row>
    <row r="33" spans="3:11" ht="15.75">
      <c r="C33" s="371" t="s">
        <v>131</v>
      </c>
      <c r="D33" s="372"/>
      <c r="E33" s="351">
        <f>G12</f>
        <v>0</v>
      </c>
      <c r="F33" s="362"/>
      <c r="G33" s="44">
        <f>G22</f>
        <v>0</v>
      </c>
      <c r="H33" s="351">
        <f>IF(E33&gt;G33,E33-G33,0)</f>
        <v>0</v>
      </c>
      <c r="I33" s="352"/>
      <c r="J33" s="45">
        <f>IF(E33&lt;&gt;0,(H33/E33)*100,0)</f>
        <v>0</v>
      </c>
    </row>
    <row r="34" spans="3:11" ht="15.75">
      <c r="C34" s="371" t="s">
        <v>43</v>
      </c>
      <c r="D34" s="372"/>
      <c r="E34" s="360" t="e">
        <f>G13</f>
        <v>#REF!</v>
      </c>
      <c r="F34" s="361"/>
      <c r="G34" s="44" t="e">
        <f>G23</f>
        <v>#REF!</v>
      </c>
      <c r="H34" s="351" t="e">
        <f>IF(E34&gt;G34,E34-G34,0)</f>
        <v>#REF!</v>
      </c>
      <c r="I34" s="352"/>
      <c r="J34" s="45" t="e">
        <f>IF(E34&lt;&gt;0,(H34/E34)*100,0)</f>
        <v>#REF!</v>
      </c>
    </row>
    <row r="35" spans="3:11" ht="15.75">
      <c r="C35" s="376" t="s">
        <v>44</v>
      </c>
      <c r="D35" s="377"/>
      <c r="E35" s="378" t="e">
        <f>G14</f>
        <v>#REF!</v>
      </c>
      <c r="F35" s="379"/>
      <c r="G35" s="46" t="e">
        <f>G24</f>
        <v>#REF!</v>
      </c>
      <c r="H35" s="373" t="e">
        <f>IF(E35&gt;G35,E35-G35,0)</f>
        <v>#REF!</v>
      </c>
      <c r="I35" s="374"/>
      <c r="J35" s="47" t="e">
        <f>IF(E35&lt;&gt;0,(H35/E35)*100,0)</f>
        <v>#REF!</v>
      </c>
    </row>
    <row r="36" spans="3:11">
      <c r="C36" s="26"/>
      <c r="D36" s="26"/>
      <c r="E36" s="26"/>
      <c r="F36" s="26"/>
      <c r="G36" s="26"/>
      <c r="H36" s="26"/>
      <c r="I36" s="26"/>
      <c r="J36" s="26"/>
      <c r="K36" s="26"/>
    </row>
    <row r="37" spans="3:11">
      <c r="C37" s="48"/>
      <c r="D37" s="38"/>
      <c r="E37" s="38"/>
      <c r="F37" s="38"/>
      <c r="G37" s="38"/>
      <c r="H37" s="38"/>
      <c r="I37" s="38"/>
      <c r="J37" s="38"/>
      <c r="K37" s="38"/>
    </row>
    <row r="38" spans="3:11">
      <c r="C38" s="49"/>
      <c r="G38" s="38"/>
      <c r="I38" s="38"/>
      <c r="K38" s="38"/>
    </row>
    <row r="39" spans="3:11">
      <c r="C39" s="50"/>
      <c r="E39" s="51"/>
      <c r="G39" s="52"/>
      <c r="I39" s="52"/>
      <c r="K39" s="51"/>
    </row>
    <row r="40" spans="3:11">
      <c r="E40" s="51"/>
      <c r="G40" s="52"/>
      <c r="I40" s="52"/>
      <c r="K40" s="51"/>
    </row>
    <row r="41" spans="3:11">
      <c r="E41" s="51"/>
      <c r="G41" s="52"/>
      <c r="I41" s="52"/>
      <c r="K41" s="51"/>
    </row>
    <row r="42" spans="3:11">
      <c r="E42" s="51"/>
      <c r="G42" s="52"/>
      <c r="I42" s="52"/>
      <c r="K42" s="51"/>
    </row>
    <row r="43" spans="3:11">
      <c r="E43" s="51"/>
      <c r="G43" s="52"/>
      <c r="I43" s="52"/>
      <c r="K43" s="51"/>
    </row>
  </sheetData>
  <sheetProtection formatCells="0"/>
  <mergeCells count="49">
    <mergeCell ref="H33:I33"/>
    <mergeCell ref="H34:I34"/>
    <mergeCell ref="H35:I35"/>
    <mergeCell ref="H29:J29"/>
    <mergeCell ref="C3:K3"/>
    <mergeCell ref="C5:K5"/>
    <mergeCell ref="H10:I10"/>
    <mergeCell ref="H11:I11"/>
    <mergeCell ref="H12:I12"/>
    <mergeCell ref="C6:J7"/>
    <mergeCell ref="C35:D35"/>
    <mergeCell ref="E35:F35"/>
    <mergeCell ref="C34:D34"/>
    <mergeCell ref="E34:F34"/>
    <mergeCell ref="C33:D33"/>
    <mergeCell ref="E31:F31"/>
    <mergeCell ref="E32:F32"/>
    <mergeCell ref="E33:F33"/>
    <mergeCell ref="E29:G29"/>
    <mergeCell ref="C29:D30"/>
    <mergeCell ref="C31:D31"/>
    <mergeCell ref="C32:D32"/>
    <mergeCell ref="H30:I30"/>
    <mergeCell ref="H31:I31"/>
    <mergeCell ref="H32:I32"/>
    <mergeCell ref="H9:I9"/>
    <mergeCell ref="E9:F9"/>
    <mergeCell ref="H13:I13"/>
    <mergeCell ref="C16:J17"/>
    <mergeCell ref="C19:D19"/>
    <mergeCell ref="E19:F19"/>
    <mergeCell ref="H19:I19"/>
    <mergeCell ref="C9:D9"/>
    <mergeCell ref="C10:D10"/>
    <mergeCell ref="C11:D11"/>
    <mergeCell ref="C12:D12"/>
    <mergeCell ref="C13:D13"/>
    <mergeCell ref="C24:D24"/>
    <mergeCell ref="H24:I24"/>
    <mergeCell ref="C21:D21"/>
    <mergeCell ref="H21:I21"/>
    <mergeCell ref="H14:I14"/>
    <mergeCell ref="C14:D14"/>
    <mergeCell ref="C20:D20"/>
    <mergeCell ref="H20:I20"/>
    <mergeCell ref="C22:D22"/>
    <mergeCell ref="H22:I22"/>
    <mergeCell ref="C23:D23"/>
    <mergeCell ref="H23:I23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3</vt:i4>
      </vt:variant>
    </vt:vector>
  </HeadingPairs>
  <TitlesOfParts>
    <vt:vector size="9" baseType="lpstr">
      <vt:lpstr>Instrukcja</vt:lpstr>
      <vt:lpstr>Wydruk</vt:lpstr>
      <vt:lpstr>Efekt OA-I</vt:lpstr>
      <vt:lpstr>Efekt OA-IV</vt:lpstr>
      <vt:lpstr>KOBIZE</vt:lpstr>
      <vt:lpstr>Podsumowanie</vt:lpstr>
      <vt:lpstr>'Efekt OA-I'!Obszar_wydruku</vt:lpstr>
      <vt:lpstr>'Efekt OA-IV'!Obszar_wydruku</vt:lpstr>
      <vt:lpstr>Podsumowanie!Obszar_wydruku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Arkadiusz Chatłas</dc:creator>
  <cp:lastModifiedBy>Romanowska, Anna</cp:lastModifiedBy>
  <cp:lastPrinted>2022-04-08T07:02:47Z</cp:lastPrinted>
  <dcterms:created xsi:type="dcterms:W3CDTF">2014-02-17T14:09:35Z</dcterms:created>
  <dcterms:modified xsi:type="dcterms:W3CDTF">2022-08-31T08:24:48Z</dcterms:modified>
</cp:coreProperties>
</file>