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JĘDRZEJ\3-KRAJÓWKA\4-EFEKTY EKOLOGICZNE\OA-EFEKTY EKOLOGICZNE\"/>
    </mc:Choice>
  </mc:AlternateContent>
  <xr:revisionPtr revIDLastSave="0" documentId="13_ncr:1_{629070FF-B8BA-47B5-A538-C4A7207252D6}" xr6:coauthVersionLast="47" xr6:coauthVersionMax="47" xr10:uidLastSave="{00000000-0000-0000-0000-000000000000}"/>
  <workbookProtection workbookAlgorithmName="SHA-512" workbookHashValue="irXO0RpPf388M2aIX4hUx5IbUzPMXyqB9Luie6j4xRsrl1JlBZfY6Vfg5Vze9GoNnVXgUJi8RuFL+0M3bO4jLA==" workbookSaltValue="e67+RvfOpSdQazOnAXNXsA==" workbookSpinCount="100000" lockStructure="1"/>
  <bookViews>
    <workbookView xWindow="-120" yWindow="-120" windowWidth="29040" windowHeight="15720" xr2:uid="{00000000-000D-0000-FFFF-FFFF00000000}"/>
  </bookViews>
  <sheets>
    <sheet name="Instrukcja" sheetId="6" r:id="rId1"/>
    <sheet name="OA-I" sheetId="7" r:id="rId2"/>
    <sheet name="OA-II" sheetId="8" r:id="rId3"/>
    <sheet name="OA-III" sheetId="9" r:id="rId4"/>
    <sheet name="OA-IV" sheetId="10" r:id="rId5"/>
    <sheet name="OA-V" sheetId="12" r:id="rId6"/>
    <sheet name="OA-VI" sheetId="13" r:id="rId7"/>
    <sheet name="KOBIZE" sheetId="11" state="hidden" r:id="rId8"/>
    <sheet name="Dane" sheetId="14" state="hidden" r:id="rId9"/>
  </sheets>
  <definedNames>
    <definedName name="emisja.osobowy">Dane!$D$7</definedName>
    <definedName name="emisja.pozostaly">Dane!$D$8</definedName>
    <definedName name="emisyjnosc">Dane!$D$3</definedName>
    <definedName name="_xlnm.Print_Area" localSheetId="1">'OA-I'!$A$1:$F$58</definedName>
    <definedName name="_xlnm.Print_Area" localSheetId="2">'OA-II'!$A$1:$H$87</definedName>
    <definedName name="_xlnm.Print_Area" localSheetId="3">'OA-III'!$A$1:$O$79</definedName>
    <definedName name="_xlnm.Print_Area" localSheetId="4">'OA-IV'!$A$1:$T$62</definedName>
    <definedName name="_xlnm.Print_Area" localSheetId="5">'OA-V'!$A$1:$Z$40</definedName>
    <definedName name="_xlnm.Print_Area" localSheetId="6">'OA-VI'!$A$1:$Z$43</definedName>
    <definedName name="zuzycie.energii.osobowy">Dane!$D$5</definedName>
    <definedName name="zuzycie.energii.pozostaly">Dane!$D$6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5" i="12" l="1"/>
  <c r="V34" i="12"/>
  <c r="V33" i="12"/>
  <c r="V32" i="12"/>
  <c r="V31" i="12"/>
  <c r="I40" i="13"/>
  <c r="V33" i="13"/>
  <c r="V28" i="13"/>
  <c r="V22" i="13"/>
  <c r="V15" i="13"/>
  <c r="I38" i="12"/>
  <c r="V37" i="13" l="1"/>
  <c r="M26" i="10"/>
  <c r="D23" i="8" l="1"/>
  <c r="D21" i="8"/>
  <c r="C23" i="8"/>
  <c r="C21" i="8"/>
  <c r="D16" i="8"/>
  <c r="D33" i="9" l="1"/>
  <c r="C33" i="9"/>
  <c r="C31" i="9"/>
  <c r="D31" i="9"/>
  <c r="D29" i="9"/>
  <c r="D26" i="9"/>
  <c r="K54" i="9"/>
  <c r="F54" i="9"/>
  <c r="H71" i="8"/>
  <c r="F71" i="8"/>
  <c r="F249" i="8"/>
  <c r="F250" i="8" s="1"/>
  <c r="B249" i="8"/>
  <c r="B250" i="8" s="1"/>
  <c r="H223" i="7"/>
  <c r="H222" i="7"/>
  <c r="H231" i="7" s="1"/>
  <c r="J222" i="7"/>
  <c r="J247" i="7" s="1"/>
  <c r="D220" i="7"/>
  <c r="D222" i="7" s="1"/>
  <c r="B220" i="7"/>
  <c r="B223" i="7" s="1"/>
  <c r="Q144" i="8"/>
  <c r="O144" i="8"/>
  <c r="M115" i="7"/>
  <c r="W137" i="8"/>
  <c r="W133" i="8"/>
  <c r="T109" i="7"/>
  <c r="T108" i="7"/>
  <c r="T105" i="7"/>
  <c r="T104" i="7"/>
  <c r="O115" i="7"/>
  <c r="N16" i="9"/>
  <c r="H247" i="7" l="1"/>
  <c r="D223" i="7"/>
  <c r="B251" i="8"/>
  <c r="B252" i="8"/>
  <c r="F251" i="8"/>
  <c r="F252" i="8"/>
  <c r="B221" i="7"/>
  <c r="B222" i="7"/>
  <c r="D221" i="7"/>
  <c r="H245" i="7"/>
  <c r="J248" i="7"/>
  <c r="H246" i="7"/>
  <c r="H248" i="7"/>
  <c r="J231" i="7"/>
  <c r="J244" i="7"/>
  <c r="J245" i="7"/>
  <c r="J246" i="7"/>
  <c r="H244" i="7"/>
  <c r="J251" i="8"/>
  <c r="J260" i="8" l="1"/>
  <c r="J259" i="8"/>
  <c r="J276" i="8"/>
  <c r="J277" i="8"/>
  <c r="J275" i="8"/>
  <c r="J258" i="8"/>
  <c r="J274" i="8"/>
  <c r="J273" i="8"/>
  <c r="J263" i="8"/>
  <c r="J268" i="8"/>
  <c r="J254" i="8"/>
  <c r="J264" i="8"/>
  <c r="J270" i="8"/>
  <c r="J255" i="8"/>
  <c r="J266" i="8"/>
  <c r="J271" i="8"/>
  <c r="J256" i="8"/>
  <c r="J262" i="8"/>
  <c r="J267" i="8"/>
  <c r="J272" i="8"/>
  <c r="J253" i="8"/>
  <c r="J257" i="8"/>
  <c r="J261" i="8"/>
  <c r="J265" i="8"/>
  <c r="J269" i="8"/>
  <c r="B261" i="8" l="1"/>
  <c r="B257" i="8"/>
  <c r="B253" i="8"/>
  <c r="B260" i="8"/>
  <c r="B256" i="8"/>
  <c r="B263" i="8"/>
  <c r="B259" i="8"/>
  <c r="B255" i="8"/>
  <c r="B262" i="8"/>
  <c r="B258" i="8"/>
  <c r="B254" i="8"/>
  <c r="J122" i="10"/>
  <c r="H122" i="10"/>
  <c r="H128" i="9"/>
  <c r="D134" i="10"/>
  <c r="B134" i="10"/>
  <c r="D133" i="10"/>
  <c r="B133" i="10"/>
  <c r="D132" i="10"/>
  <c r="B132" i="10"/>
  <c r="D131" i="10"/>
  <c r="B131" i="10"/>
  <c r="D130" i="10"/>
  <c r="B130" i="10"/>
  <c r="D129" i="10"/>
  <c r="B129" i="10"/>
  <c r="D128" i="10"/>
  <c r="B128" i="10"/>
  <c r="D127" i="10"/>
  <c r="B127" i="10"/>
  <c r="D126" i="10"/>
  <c r="B126" i="10"/>
  <c r="D125" i="10"/>
  <c r="B125" i="10"/>
  <c r="D124" i="10"/>
  <c r="B124" i="10"/>
  <c r="D123" i="10"/>
  <c r="B123" i="10"/>
  <c r="D122" i="10"/>
  <c r="B122" i="10"/>
  <c r="J144" i="10" l="1"/>
  <c r="J145" i="10"/>
  <c r="J147" i="10"/>
  <c r="J131" i="10"/>
  <c r="J148" i="10"/>
  <c r="J146" i="10"/>
  <c r="H131" i="10"/>
  <c r="H145" i="10"/>
  <c r="H147" i="10"/>
  <c r="H130" i="10"/>
  <c r="H127" i="10"/>
  <c r="H144" i="10"/>
  <c r="H143" i="10"/>
  <c r="H146" i="10"/>
  <c r="H148" i="10"/>
  <c r="J137" i="10"/>
  <c r="J139" i="10"/>
  <c r="J138" i="10"/>
  <c r="J140" i="10"/>
  <c r="H126" i="10"/>
  <c r="H125" i="10"/>
  <c r="J126" i="10"/>
  <c r="J129" i="10"/>
  <c r="J133" i="10"/>
  <c r="J143" i="10"/>
  <c r="J124" i="10"/>
  <c r="J123" i="10"/>
  <c r="J135" i="10"/>
  <c r="J141" i="10"/>
  <c r="J125" i="10"/>
  <c r="J127" i="10"/>
  <c r="J128" i="10"/>
  <c r="J130" i="10"/>
  <c r="J132" i="10"/>
  <c r="J134" i="10"/>
  <c r="J136" i="10"/>
  <c r="J142" i="10"/>
  <c r="H138" i="10"/>
  <c r="H137" i="10"/>
  <c r="H139" i="10"/>
  <c r="H123" i="10"/>
  <c r="H128" i="10"/>
  <c r="H132" i="10"/>
  <c r="H134" i="10"/>
  <c r="H136" i="10"/>
  <c r="H140" i="10"/>
  <c r="H142" i="10"/>
  <c r="H124" i="10"/>
  <c r="H129" i="10"/>
  <c r="H133" i="10"/>
  <c r="H135" i="10"/>
  <c r="H141" i="10"/>
  <c r="H150" i="10" l="1"/>
  <c r="H149" i="10"/>
  <c r="J150" i="10"/>
  <c r="J149" i="10"/>
  <c r="J127" i="9"/>
  <c r="H127" i="9"/>
  <c r="B127" i="9"/>
  <c r="D127" i="9"/>
  <c r="B128" i="9"/>
  <c r="D128" i="9"/>
  <c r="J128" i="9"/>
  <c r="B129" i="9"/>
  <c r="D129" i="9"/>
  <c r="B130" i="9"/>
  <c r="D130" i="9"/>
  <c r="B131" i="9"/>
  <c r="D131" i="9"/>
  <c r="B132" i="9"/>
  <c r="D132" i="9"/>
  <c r="B133" i="9"/>
  <c r="D133" i="9"/>
  <c r="B134" i="9"/>
  <c r="D134" i="9"/>
  <c r="B135" i="9"/>
  <c r="D135" i="9"/>
  <c r="B136" i="9"/>
  <c r="D136" i="9"/>
  <c r="B137" i="9"/>
  <c r="D137" i="9"/>
  <c r="B138" i="9"/>
  <c r="D138" i="9"/>
  <c r="B139" i="9"/>
  <c r="D139" i="9"/>
  <c r="L252" i="8"/>
  <c r="J252" i="8"/>
  <c r="L251" i="8"/>
  <c r="J135" i="9" l="1"/>
  <c r="J134" i="9"/>
  <c r="J151" i="9"/>
  <c r="J149" i="9"/>
  <c r="J136" i="9"/>
  <c r="J152" i="9"/>
  <c r="J150" i="9"/>
  <c r="H131" i="9"/>
  <c r="H152" i="9"/>
  <c r="H151" i="9"/>
  <c r="H150" i="9"/>
  <c r="H149" i="9"/>
  <c r="H135" i="9"/>
  <c r="H148" i="9"/>
  <c r="H136" i="9"/>
  <c r="L274" i="8"/>
  <c r="L273" i="8"/>
  <c r="L275" i="8"/>
  <c r="L260" i="8"/>
  <c r="L276" i="8"/>
  <c r="L277" i="8"/>
  <c r="L270" i="8"/>
  <c r="L266" i="8"/>
  <c r="L262" i="8"/>
  <c r="L258" i="8"/>
  <c r="L254" i="8"/>
  <c r="L269" i="8"/>
  <c r="L265" i="8"/>
  <c r="L261" i="8"/>
  <c r="L257" i="8"/>
  <c r="L253" i="8"/>
  <c r="L272" i="8"/>
  <c r="L268" i="8"/>
  <c r="L264" i="8"/>
  <c r="L256" i="8"/>
  <c r="L271" i="8"/>
  <c r="L267" i="8"/>
  <c r="L263" i="8"/>
  <c r="L259" i="8"/>
  <c r="L255" i="8"/>
  <c r="F262" i="8"/>
  <c r="F258" i="8"/>
  <c r="F254" i="8"/>
  <c r="F261" i="8"/>
  <c r="F257" i="8"/>
  <c r="F253" i="8"/>
  <c r="F260" i="8"/>
  <c r="F256" i="8"/>
  <c r="F263" i="8"/>
  <c r="F259" i="8"/>
  <c r="F255" i="8"/>
  <c r="H132" i="9"/>
  <c r="H133" i="9"/>
  <c r="H137" i="9"/>
  <c r="H139" i="9"/>
  <c r="H141" i="9"/>
  <c r="H143" i="9"/>
  <c r="H145" i="9"/>
  <c r="H147" i="9"/>
  <c r="H130" i="9"/>
  <c r="H134" i="9"/>
  <c r="H138" i="9"/>
  <c r="H140" i="9"/>
  <c r="H142" i="9"/>
  <c r="H144" i="9"/>
  <c r="H146" i="9"/>
  <c r="H129" i="9"/>
  <c r="J131" i="9"/>
  <c r="J139" i="9"/>
  <c r="J132" i="9"/>
  <c r="J129" i="9"/>
  <c r="J137" i="9"/>
  <c r="J141" i="9"/>
  <c r="J130" i="9"/>
  <c r="J133" i="9"/>
  <c r="J138" i="9"/>
  <c r="J140" i="9"/>
  <c r="J142" i="9"/>
  <c r="J144" i="9"/>
  <c r="J146" i="9"/>
  <c r="J148" i="9"/>
  <c r="J143" i="9"/>
  <c r="J145" i="9"/>
  <c r="J147" i="9"/>
  <c r="J224" i="7"/>
  <c r="H226" i="7"/>
  <c r="H228" i="7"/>
  <c r="H230" i="7"/>
  <c r="H232" i="7"/>
  <c r="H234" i="7"/>
  <c r="H236" i="7"/>
  <c r="H238" i="7"/>
  <c r="H240" i="7"/>
  <c r="H242" i="7"/>
  <c r="H224" i="7"/>
  <c r="H225" i="7"/>
  <c r="H227" i="7"/>
  <c r="H229" i="7"/>
  <c r="H233" i="7"/>
  <c r="H235" i="7"/>
  <c r="H237" i="7"/>
  <c r="H239" i="7"/>
  <c r="H241" i="7"/>
  <c r="H243" i="7"/>
  <c r="J225" i="7"/>
  <c r="J227" i="7"/>
  <c r="J228" i="7"/>
  <c r="J230" i="7"/>
  <c r="J232" i="7"/>
  <c r="J234" i="7"/>
  <c r="J236" i="7"/>
  <c r="J238" i="7"/>
  <c r="J240" i="7"/>
  <c r="J242" i="7"/>
  <c r="J226" i="7"/>
  <c r="J223" i="7"/>
  <c r="J229" i="7"/>
  <c r="J233" i="7"/>
  <c r="J235" i="7"/>
  <c r="J237" i="7"/>
  <c r="J239" i="7"/>
  <c r="J241" i="7"/>
  <c r="J243" i="7"/>
  <c r="D19" i="8" l="1"/>
  <c r="M121" i="7" l="1"/>
  <c r="M118" i="7"/>
  <c r="M122" i="7" l="1"/>
  <c r="W138" i="8" l="1"/>
  <c r="W134" i="8"/>
  <c r="B76" i="9" l="1"/>
  <c r="O47" i="10" l="1"/>
  <c r="O48" i="10"/>
  <c r="I47" i="10"/>
  <c r="I53" i="10" s="1"/>
  <c r="I48" i="10"/>
  <c r="M40" i="10"/>
  <c r="M32" i="10"/>
  <c r="M33" i="10" s="1"/>
  <c r="F55" i="9"/>
  <c r="F60" i="9" s="1"/>
  <c r="L53" i="10" l="1"/>
  <c r="K55" i="9"/>
  <c r="I60" i="9" s="1"/>
  <c r="L60" i="9" s="1"/>
  <c r="N60" i="9" s="1"/>
  <c r="N299" i="8" l="1"/>
  <c r="N298" i="8"/>
  <c r="N297" i="8"/>
  <c r="N296" i="8"/>
  <c r="G296" i="8"/>
  <c r="N295" i="8"/>
  <c r="AU185" i="8"/>
  <c r="AT185" i="8"/>
  <c r="AS185" i="8"/>
  <c r="AQ185" i="8"/>
  <c r="AP185" i="8"/>
  <c r="AU184" i="8"/>
  <c r="AT184" i="8"/>
  <c r="AS184" i="8"/>
  <c r="AQ184" i="8"/>
  <c r="AP184" i="8"/>
  <c r="AU183" i="8"/>
  <c r="AT183" i="8"/>
  <c r="AS183" i="8"/>
  <c r="AQ183" i="8"/>
  <c r="AP183" i="8"/>
  <c r="Q156" i="8"/>
  <c r="O156" i="8"/>
  <c r="Q153" i="8"/>
  <c r="O153" i="8"/>
  <c r="Q150" i="8"/>
  <c r="O150" i="8"/>
  <c r="Q147" i="8"/>
  <c r="O147" i="8"/>
  <c r="L163" i="8"/>
  <c r="F49" i="8"/>
  <c r="E72" i="8" s="1"/>
  <c r="B85" i="8"/>
  <c r="F72" i="8" l="1"/>
  <c r="E71" i="8"/>
  <c r="E74" i="8" s="1"/>
  <c r="H72" i="8"/>
  <c r="G71" i="8"/>
  <c r="G74" i="8" s="1"/>
  <c r="O151" i="8"/>
  <c r="W165" i="8" s="1"/>
  <c r="F163" i="8"/>
  <c r="G163" i="8"/>
  <c r="H49" i="8"/>
  <c r="G72" i="8" s="1"/>
  <c r="K163" i="8"/>
  <c r="Q151" i="8"/>
  <c r="W164" i="8" s="1"/>
  <c r="X164" i="8"/>
  <c r="O157" i="8"/>
  <c r="Q157" i="8"/>
  <c r="E73" i="8" l="1"/>
  <c r="E79" i="8" s="1"/>
  <c r="G73" i="8"/>
  <c r="T181" i="8"/>
  <c r="T180" i="8"/>
  <c r="T179" i="8"/>
  <c r="T182" i="8"/>
  <c r="G299" i="8"/>
  <c r="G297" i="8"/>
  <c r="G295" i="8"/>
  <c r="G298" i="8"/>
  <c r="T172" i="8"/>
  <c r="T171" i="8"/>
  <c r="T170" i="8"/>
  <c r="T173" i="8"/>
  <c r="F79" i="8" l="1"/>
  <c r="G79" i="8" s="1"/>
  <c r="H79" i="8" s="1"/>
  <c r="O159" i="8"/>
  <c r="O161" i="8" s="1"/>
  <c r="O183" i="8" s="1"/>
  <c r="E63" i="8" s="1"/>
  <c r="Q159" i="8"/>
  <c r="Q161" i="8" s="1"/>
  <c r="O182" i="8" l="1"/>
  <c r="O181" i="8"/>
  <c r="E62" i="8" s="1"/>
  <c r="O180" i="8"/>
  <c r="E61" i="8" s="1"/>
  <c r="H61" i="8" s="1"/>
  <c r="O184" i="8"/>
  <c r="E64" i="8" s="1"/>
  <c r="H64" i="8" s="1"/>
  <c r="Q184" i="8"/>
  <c r="K184" i="8" s="1"/>
  <c r="Q183" i="8"/>
  <c r="K183" i="8" s="1"/>
  <c r="Q182" i="8"/>
  <c r="Q181" i="8"/>
  <c r="K181" i="8" s="1"/>
  <c r="Q180" i="8"/>
  <c r="K180" i="8" s="1"/>
  <c r="F61" i="8" l="1"/>
  <c r="G61" i="8" s="1"/>
  <c r="F62" i="8"/>
  <c r="G62" i="8" s="1"/>
  <c r="H62" i="8" s="1"/>
  <c r="F64" i="8"/>
  <c r="G64" i="8" s="1"/>
  <c r="F63" i="8"/>
  <c r="G63" i="8" s="1"/>
  <c r="H63" i="8" s="1"/>
  <c r="B230" i="7" l="1"/>
  <c r="B229" i="7"/>
  <c r="L273" i="7"/>
  <c r="L272" i="7"/>
  <c r="L271" i="7"/>
  <c r="L270" i="7"/>
  <c r="E270" i="7"/>
  <c r="L269" i="7"/>
  <c r="B234" i="7"/>
  <c r="B233" i="7"/>
  <c r="D232" i="7"/>
  <c r="B232" i="7"/>
  <c r="AS156" i="7"/>
  <c r="AR156" i="7"/>
  <c r="AQ156" i="7"/>
  <c r="AO156" i="7"/>
  <c r="AN156" i="7"/>
  <c r="AS155" i="7"/>
  <c r="AR155" i="7"/>
  <c r="AQ155" i="7"/>
  <c r="AO155" i="7"/>
  <c r="AN155" i="7"/>
  <c r="AS154" i="7"/>
  <c r="AR154" i="7"/>
  <c r="AQ154" i="7"/>
  <c r="AO154" i="7"/>
  <c r="AN154" i="7"/>
  <c r="O127" i="7"/>
  <c r="M127" i="7"/>
  <c r="O124" i="7"/>
  <c r="M124" i="7"/>
  <c r="O121" i="7"/>
  <c r="O118" i="7"/>
  <c r="I134" i="7"/>
  <c r="B56" i="7"/>
  <c r="F42" i="7"/>
  <c r="D42" i="7"/>
  <c r="C42" i="7" s="1"/>
  <c r="D43" i="7" l="1"/>
  <c r="C45" i="7"/>
  <c r="F43" i="7"/>
  <c r="E42" i="7"/>
  <c r="E45" i="7" s="1"/>
  <c r="D134" i="7"/>
  <c r="M128" i="7"/>
  <c r="R141" i="7" s="1"/>
  <c r="D20" i="7"/>
  <c r="C43" i="7" s="1"/>
  <c r="D230" i="7"/>
  <c r="D229" i="7"/>
  <c r="E273" i="7"/>
  <c r="E271" i="7"/>
  <c r="E269" i="7"/>
  <c r="E272" i="7"/>
  <c r="D224" i="7"/>
  <c r="D227" i="7"/>
  <c r="D233" i="7"/>
  <c r="D234" i="7"/>
  <c r="O128" i="7"/>
  <c r="R152" i="7" s="1"/>
  <c r="J134" i="7"/>
  <c r="F20" i="7"/>
  <c r="E43" i="7" s="1"/>
  <c r="O122" i="7"/>
  <c r="U135" i="7" s="1"/>
  <c r="E134" i="7"/>
  <c r="V135" i="7"/>
  <c r="D225" i="7"/>
  <c r="D226" i="7"/>
  <c r="D228" i="7"/>
  <c r="D231" i="7"/>
  <c r="B224" i="7"/>
  <c r="B225" i="7"/>
  <c r="B226" i="7"/>
  <c r="B227" i="7"/>
  <c r="B228" i="7"/>
  <c r="B231" i="7"/>
  <c r="U136" i="7" l="1"/>
  <c r="R144" i="7"/>
  <c r="R142" i="7"/>
  <c r="E44" i="7"/>
  <c r="D50" i="7" s="1"/>
  <c r="R143" i="7"/>
  <c r="C44" i="7"/>
  <c r="R153" i="7"/>
  <c r="R151" i="7"/>
  <c r="R150" i="7"/>
  <c r="M130" i="7" l="1"/>
  <c r="M132" i="7" s="1"/>
  <c r="M155" i="7" s="1"/>
  <c r="C35" i="7" s="1"/>
  <c r="O130" i="7"/>
  <c r="O132" i="7" s="1"/>
  <c r="O151" i="7" s="1"/>
  <c r="D32" i="7" s="1"/>
  <c r="C50" i="7"/>
  <c r="M153" i="7" l="1"/>
  <c r="M151" i="7"/>
  <c r="C32" i="7" s="1"/>
  <c r="E32" i="7" s="1"/>
  <c r="F32" i="7" s="1"/>
  <c r="M152" i="7"/>
  <c r="C33" i="7" s="1"/>
  <c r="M154" i="7"/>
  <c r="C34" i="7" s="1"/>
  <c r="O155" i="7"/>
  <c r="D35" i="7" s="1"/>
  <c r="E35" i="7" s="1"/>
  <c r="F35" i="7" s="1"/>
  <c r="O152" i="7"/>
  <c r="D33" i="7" s="1"/>
  <c r="O153" i="7"/>
  <c r="I151" i="7"/>
  <c r="O154" i="7"/>
  <c r="E50" i="7"/>
  <c r="F50" i="7" s="1"/>
  <c r="E33" i="7" l="1"/>
  <c r="F33" i="7" s="1"/>
  <c r="I155" i="7"/>
  <c r="I152" i="7"/>
  <c r="D34" i="7"/>
  <c r="E34" i="7" s="1"/>
  <c r="F34" i="7" s="1"/>
  <c r="I154" i="7"/>
  <c r="B60" i="10" l="1"/>
  <c r="P40" i="10"/>
  <c r="O53" i="10" l="1"/>
  <c r="R5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Złotek, Robert</author>
    <author>Piątek, Jędrzej</author>
  </authors>
  <commentList>
    <comment ref="B24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INNE: należy wymienić pozostałe rodzaje przegród poddane modernizacji</t>
        </r>
      </text>
    </comment>
    <comment ref="E24" authorId="1" shapeId="0" xr:uid="{11E36B77-CC34-43A4-B801-D6E7546C0758}">
      <text>
        <r>
          <rPr>
            <b/>
            <sz val="9"/>
            <color indexed="81"/>
            <rFont val="Tahoma"/>
            <family val="2"/>
            <charset val="238"/>
          </rPr>
          <t>Należy podać wartość. 
Jeśli nie dotyczy należy wpisać "-".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4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Należy podać wartość. 
Jeśli nie dotyczy należy wpisać "-".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B34" authorId="0" shapeId="0" xr:uid="{F3374B68-F7A6-44DB-97B4-454957CF1D51}">
      <text>
        <r>
          <rPr>
            <b/>
            <sz val="9"/>
            <color indexed="81"/>
            <rFont val="Tahoma"/>
            <family val="2"/>
            <charset val="238"/>
          </rPr>
          <t>INNE: należy wymienić pozostałe rodzaje przegród poddane modernizacji</t>
        </r>
      </text>
    </comment>
    <comment ref="E34" authorId="0" shapeId="0" xr:uid="{85953BD7-94BD-4645-AB00-1CDB5568A530}">
      <text>
        <r>
          <rPr>
            <b/>
            <sz val="9"/>
            <color indexed="81"/>
            <rFont val="Tahoma"/>
            <family val="2"/>
            <charset val="238"/>
          </rPr>
          <t>Należy podać wartość. 
Jeśli nie dotyczy należy wpisać "-".</t>
        </r>
      </text>
    </comment>
    <comment ref="G34" authorId="0" shapeId="0" xr:uid="{3032C88F-C7E0-4E78-A05A-E4875E088DCE}">
      <text>
        <r>
          <rPr>
            <b/>
            <sz val="9"/>
            <color indexed="81"/>
            <rFont val="Tahoma"/>
            <family val="2"/>
            <charset val="238"/>
          </rPr>
          <t>Należy podać wartość. 
Jeśli nie dotyczy należy wpisać "-".</t>
        </r>
      </text>
    </comment>
  </commentList>
</comments>
</file>

<file path=xl/sharedStrings.xml><?xml version="1.0" encoding="utf-8"?>
<sst xmlns="http://schemas.openxmlformats.org/spreadsheetml/2006/main" count="1338" uniqueCount="420">
  <si>
    <t>palniki pionowe</t>
  </si>
  <si>
    <t>palniki poziome</t>
  </si>
  <si>
    <t>Wybierz paliwo</t>
  </si>
  <si>
    <t>Ruszt mechaniczny</t>
  </si>
  <si>
    <t>CO</t>
  </si>
  <si>
    <t>pył</t>
  </si>
  <si>
    <t>Ruszt stały</t>
  </si>
  <si>
    <t>Wydajność cieplna powyżej 30 MW</t>
  </si>
  <si>
    <t>Wydajność cieplna od 5,5 do 30 MW</t>
  </si>
  <si>
    <t>Wybierz rodzaj palnika</t>
  </si>
  <si>
    <t>Parowe i wodne</t>
  </si>
  <si>
    <t>Wydajność cieplna od 1,4 do 5,5 MW</t>
  </si>
  <si>
    <t>Wydajność cieplna poniżej 1,4 MW</t>
  </si>
  <si>
    <t>Węgiel</t>
  </si>
  <si>
    <t>Ciąg naturalny</t>
  </si>
  <si>
    <t>Koks</t>
  </si>
  <si>
    <t>Ciąg sztuczny</t>
  </si>
  <si>
    <t>Wydajność cieplna powyżej 200 kW</t>
  </si>
  <si>
    <t>Wydajność cieplna od 25 do 200 kW</t>
  </si>
  <si>
    <t>Cały zakres wydajności cieplnej</t>
  </si>
  <si>
    <t>Palnik poziomy</t>
  </si>
  <si>
    <t>Wydajność cieplna powyżej 12 MW (powyżej 20 T/h pary)</t>
  </si>
  <si>
    <t>Wydajność cieplna od 3 do 12 MW ( od 5 do 20 T/h pary)</t>
  </si>
  <si>
    <t>Wydajność cieplna do 3 MW (poniżej 5 T/h pary)</t>
  </si>
  <si>
    <t>Wydajność cieplna poniżej 5,5 MW</t>
  </si>
  <si>
    <t>Wybierz rodzaj rusztu</t>
  </si>
  <si>
    <t>Wybierz rodzaj kotła</t>
  </si>
  <si>
    <t>Wybierz rodzaj ciągu</t>
  </si>
  <si>
    <t>Wybierz zakres wydajności cieplnej</t>
  </si>
  <si>
    <t>PRZED</t>
  </si>
  <si>
    <t>PO</t>
  </si>
  <si>
    <t>Podaj ilość paliwa przed termomodernizacją</t>
  </si>
  <si>
    <t>B=</t>
  </si>
  <si>
    <t>S=</t>
  </si>
  <si>
    <t>%</t>
  </si>
  <si>
    <t>Podaj zawartość popiołu (w %)</t>
  </si>
  <si>
    <t>A'=</t>
  </si>
  <si>
    <t>n=</t>
  </si>
  <si>
    <t>Podaj zawartość części palnych w pyle (w %)</t>
  </si>
  <si>
    <t>k=</t>
  </si>
  <si>
    <t>Tlenek węgla (CO)</t>
  </si>
  <si>
    <t>Pył ogółem</t>
  </si>
  <si>
    <t>kg</t>
  </si>
  <si>
    <t>Podaj ilość paliwa po termomodernizacji</t>
  </si>
  <si>
    <t>Przed</t>
  </si>
  <si>
    <t>Po</t>
  </si>
  <si>
    <t>REDUKCJA EMISJI</t>
  </si>
  <si>
    <t>Emisja zanieczyszczeń przed [kg/rok]</t>
  </si>
  <si>
    <t>UWAGA: Proszę zawsze wypełniać wszystkie żółte pola w kolumnach zaczynając od góry</t>
  </si>
  <si>
    <t>węgiel brunatny</t>
  </si>
  <si>
    <t>węgiel kamienny</t>
  </si>
  <si>
    <t>gaz wielkopiecowy</t>
  </si>
  <si>
    <t>gaz koksowniczy</t>
  </si>
  <si>
    <t>gaz rafineryjny</t>
  </si>
  <si>
    <t>półprodukty z przerobu ropy naftowej</t>
  </si>
  <si>
    <t>oleje opałowe</t>
  </si>
  <si>
    <t>olej napędowy (w tym olej opałowy lekki)</t>
  </si>
  <si>
    <t>paliwa odrzutowe</t>
  </si>
  <si>
    <t>benzyny lotnicze</t>
  </si>
  <si>
    <t>benzyny silnikowe</t>
  </si>
  <si>
    <t>gaz ciekły</t>
  </si>
  <si>
    <t>koks i połkoks (w tym gazowy)</t>
  </si>
  <si>
    <t>koks naftowy</t>
  </si>
  <si>
    <t>m3</t>
  </si>
  <si>
    <t>olej opałowy lekki</t>
  </si>
  <si>
    <t>inne produkty naftowe</t>
  </si>
  <si>
    <t>mln m3</t>
  </si>
  <si>
    <t>paliwa gazowe</t>
  </si>
  <si>
    <t>odpady komunalne - biogeniczne</t>
  </si>
  <si>
    <t>ton</t>
  </si>
  <si>
    <t>paliwa stałe</t>
  </si>
  <si>
    <t>Informacyjne ilości paliwa</t>
  </si>
  <si>
    <t>odpady przemysłowe</t>
  </si>
  <si>
    <t>biogaz</t>
  </si>
  <si>
    <t>gaz z odmetanowania kopalń</t>
  </si>
  <si>
    <t>gaz ziemny zaazotowany</t>
  </si>
  <si>
    <t>kg/GJ</t>
  </si>
  <si>
    <t>gaz ziemny wysokometanowy</t>
  </si>
  <si>
    <t>gaz ziemny</t>
  </si>
  <si>
    <t>ropa naftowa</t>
  </si>
  <si>
    <t>MJ/kg</t>
  </si>
  <si>
    <t>brykiety węgla brunatnego</t>
  </si>
  <si>
    <t>brykiety węgla kamiennego</t>
  </si>
  <si>
    <t>Tabela 14</t>
  </si>
  <si>
    <t>Wskaźniki emisji dla węgla kamiennego i brunatnego, obliczone w oparciu o średnie krajowe WO dla tych paliw</t>
  </si>
  <si>
    <t>Tabela 13</t>
  </si>
  <si>
    <t>Paliwa inne niż węgiel</t>
  </si>
  <si>
    <t>Tabela 12</t>
  </si>
  <si>
    <t>Rolnictwo/leśnictwo/rybołówstwo</t>
  </si>
  <si>
    <t>Tabela 11</t>
  </si>
  <si>
    <t>Tabela 10</t>
  </si>
  <si>
    <t>Tabela 9</t>
  </si>
  <si>
    <t>Produkcja artykułów spożywczych, napojów i wyrobów tytoniowych (dział 10, 11 i 12)</t>
  </si>
  <si>
    <t>Tabela 8</t>
  </si>
  <si>
    <t>Tabela 7</t>
  </si>
  <si>
    <t>Tabela 6</t>
  </si>
  <si>
    <t>Tabela 5</t>
  </si>
  <si>
    <t>Tabela 4</t>
  </si>
  <si>
    <t>Tabela 4 . Koksownie</t>
  </si>
  <si>
    <t>Koksownie</t>
  </si>
  <si>
    <t>Tabela 3</t>
  </si>
  <si>
    <t>Tabela 3 . Ciepłownie</t>
  </si>
  <si>
    <t>Produkcja ciepła w ciepłowniach</t>
  </si>
  <si>
    <t>Tabela 2</t>
  </si>
  <si>
    <t>Tabela 2 . Elektrociepłownie przemysłowe</t>
  </si>
  <si>
    <t>Produkcja energii elektrycznej i ciepła w elektrociepłowniach przemysłowych</t>
  </si>
  <si>
    <t>Tabela 1</t>
  </si>
  <si>
    <t>Tabela 1 . Elektrownie i elektrociepłownie zawodowe</t>
  </si>
  <si>
    <t>Produkcja energii elektrycznej i ciepła w elektrowniach i elektrociepłowniach zawodowych</t>
  </si>
  <si>
    <t>Rodzaj zanieczyszczenia</t>
  </si>
  <si>
    <t>Wielkość emisji w kg/rok</t>
  </si>
  <si>
    <t>Redukcja emisji</t>
  </si>
  <si>
    <t>Po modernizacji</t>
  </si>
  <si>
    <t>2-3 (kg/rok)</t>
  </si>
  <si>
    <t>4:2 (%)</t>
  </si>
  <si>
    <t>Przed  modernizacją</t>
  </si>
  <si>
    <t>Palnik pionowy</t>
  </si>
  <si>
    <t>Węzeł ciepła</t>
  </si>
  <si>
    <t>Czy jest węzeł</t>
  </si>
  <si>
    <t>przed</t>
  </si>
  <si>
    <t>po</t>
  </si>
  <si>
    <t>Węzeł ciepła - brak oliczeń KOBIZE</t>
  </si>
  <si>
    <t>węzeł ciepła</t>
  </si>
  <si>
    <t>gaz płynny skroplony</t>
  </si>
  <si>
    <t>m3 gazu skrolonego</t>
  </si>
  <si>
    <t>gaz płynny rozprężony</t>
  </si>
  <si>
    <t>Te współczynniki można zmieniać tak jak podaje beneficjent</t>
  </si>
  <si>
    <t xml:space="preserve">Zgodnie z KOBIZE wartość opałowa drewna wynosi </t>
  </si>
  <si>
    <t>Jeżeli beneficjent podaje inaczej to tutaj można to zmienić</t>
  </si>
  <si>
    <t>Produkcja żelaza i stali(grupy z działu 24 z wyjątkiem grup wymienionych poniżej - w tabeli 6)</t>
  </si>
  <si>
    <t>Produkcja metali metali nieżelaznych (grupy: 24.4, 24.53, 24.54)</t>
  </si>
  <si>
    <t>Przemysł chemiczny (dział 20 i 21)</t>
  </si>
  <si>
    <t>Produkcja papiernicza oraz działalność wydawnicza i poligraficzna (dział 17 i 18)</t>
  </si>
  <si>
    <t>Inna działalność - sekcji B (górnictwo i wydobywanie) działy: 07, 08, 09.9, z sekcji C (przetwórstwo przemysłowe) działy : 13-16, 22, 23, 25-32 oraz sekcja F (budownictwo) działy: 41-43</t>
  </si>
  <si>
    <t>Instytucje/handel/usługi</t>
  </si>
  <si>
    <t>Tabela 6 . Przemysł metali nieżelaznych (grupy: 24.4, 24.53, 24.54)</t>
  </si>
  <si>
    <t>Tabela 7 . Przemysł chemiczny (dział 20 i 21)</t>
  </si>
  <si>
    <t>Tabela 8 . Przemysł papierniczy i poligraficzny (dział 17 i 18)</t>
  </si>
  <si>
    <t>Tabela 9 .Przemysł spożywczy (dział 10, 11 i 12)</t>
  </si>
  <si>
    <t>odpady komunalne - niebiogeniczne</t>
  </si>
  <si>
    <t>drewno opałowe i odpady pochodzenia drzewnego, biomasa</t>
  </si>
  <si>
    <t>Podaj sprawność instalacji redukcji:</t>
  </si>
  <si>
    <t>Pyłu</t>
  </si>
  <si>
    <t>Podaj zawartość siarki całkowitej w paliwie (w %)</t>
  </si>
  <si>
    <t>Węgiel kamienny</t>
  </si>
  <si>
    <t>Paliwa ciekłe</t>
  </si>
  <si>
    <t>Drewno (biomasa)</t>
  </si>
  <si>
    <t>Pozostałe</t>
  </si>
  <si>
    <t>Wydajność cieplna od 1,0 do 5,5 MW</t>
  </si>
  <si>
    <t>Gaz ziemny wysokometanowy ( E )</t>
  </si>
  <si>
    <t>Gaz ziemny zaazotowany</t>
  </si>
  <si>
    <t>Wydajność cieplna poniżej 1,0 MW</t>
  </si>
  <si>
    <t>Węzeł</t>
  </si>
  <si>
    <t>Olej</t>
  </si>
  <si>
    <t>Pionowy</t>
  </si>
  <si>
    <t>Poziomy</t>
  </si>
  <si>
    <t>Gaz wysokometanowy</t>
  </si>
  <si>
    <t>Gaz zaazotowany</t>
  </si>
  <si>
    <t>Biomasa</t>
  </si>
  <si>
    <t>brak</t>
  </si>
  <si>
    <t>KOBIZE</t>
  </si>
  <si>
    <t>Dla drewna, zgodnie z wytycznymi przyjęto następujące wskaźniki zanieczyszceń :</t>
  </si>
  <si>
    <t>Q&lt;=1,0 MW</t>
  </si>
  <si>
    <t>od 1,0 do 5,5 MW</t>
  </si>
  <si>
    <t>OA-I</t>
  </si>
  <si>
    <t>OCHRONA POWIETRZA - MODERNIZACJA KOTŁOWNI</t>
  </si>
  <si>
    <t>(nazwa przedsięwzięcia)</t>
  </si>
  <si>
    <t>Wyszczególnienie</t>
  </si>
  <si>
    <t>Przed modernizacją</t>
  </si>
  <si>
    <t>Rodzaj ciągu:</t>
  </si>
  <si>
    <t xml:space="preserve">Roczne zużycie paliwa (P) </t>
  </si>
  <si>
    <t>Przyjeta do obliczeń tabela wg. KOBIZE:</t>
  </si>
  <si>
    <t>Zawartość części palnych w pyle - k (%)</t>
  </si>
  <si>
    <t>NIE DOTYCZY</t>
  </si>
  <si>
    <t>1. Charakterystyka modernizowanej kotłowni</t>
  </si>
  <si>
    <t>Nazwa przedsiewzięcia</t>
  </si>
  <si>
    <t>Rodzaj, typ kotła</t>
  </si>
  <si>
    <t>Osoba przygotowująca dokument</t>
  </si>
  <si>
    <t>Telefon kontaktowy</t>
  </si>
  <si>
    <t>Miejscowość</t>
  </si>
  <si>
    <t>data sporządzenia</t>
  </si>
  <si>
    <t>Moc kotła [kW]</t>
  </si>
  <si>
    <t>Roczne zużycie paliwa:</t>
  </si>
  <si>
    <t>Rodzaj paliwa</t>
  </si>
  <si>
    <t>Węglowy</t>
  </si>
  <si>
    <t>Koksowy</t>
  </si>
  <si>
    <t>Olejowy</t>
  </si>
  <si>
    <t>Gazowy</t>
  </si>
  <si>
    <t>Na biomasę</t>
  </si>
  <si>
    <t>Rodzaj kotła:</t>
  </si>
  <si>
    <t>Typ kotła:</t>
  </si>
  <si>
    <t>Moc kotłów (kW):</t>
  </si>
  <si>
    <t>Rodzaj paliwa:</t>
  </si>
  <si>
    <t>Rodzaj rusztu:</t>
  </si>
  <si>
    <t>Rodzaj palników (dla gazu):</t>
  </si>
  <si>
    <t>Wydajność cieplna kotła:</t>
  </si>
  <si>
    <t>Data sporządzenia efektu generowana jest automatycznie</t>
  </si>
  <si>
    <t>Roczna produkcja ciepła (RPC) [GJ/rok]</t>
  </si>
  <si>
    <t>Wskaźnik emisji (WE) [kg/GJ]</t>
  </si>
  <si>
    <t>Tabela 5 . Produkcja żelaza i stali (grupy  działu 24  z wyjątkiem grup wymienionych w w tabeli 6)</t>
  </si>
  <si>
    <t>Tabela</t>
  </si>
  <si>
    <t>nr wartości opałowej</t>
  </si>
  <si>
    <t>WO</t>
  </si>
  <si>
    <t>WE</t>
  </si>
  <si>
    <t>Gęstość oleju</t>
  </si>
  <si>
    <t>Olej napędowy</t>
  </si>
  <si>
    <r>
      <t>Gęstość oleju opłaowego została przyjeta na poziomie 860 kg/m</t>
    </r>
    <r>
      <rPr>
        <vertAlign val="superscript"/>
        <sz val="18"/>
        <color theme="1"/>
        <rFont val="Czcionka tekstu podstawowego"/>
        <charset val="238"/>
      </rPr>
      <t>3</t>
    </r>
  </si>
  <si>
    <t>Najpierw wypełniamy kolumnę "Przed modernizacją" a następnie "Po modernizacji"</t>
  </si>
  <si>
    <r>
      <t>MJ/m</t>
    </r>
    <r>
      <rPr>
        <vertAlign val="superscript"/>
        <sz val="11"/>
        <color theme="1"/>
        <rFont val="Czcionka tekstu podstawowego"/>
        <charset val="238"/>
      </rPr>
      <t>3</t>
    </r>
  </si>
  <si>
    <t>Q&gt;=5,5 MW</t>
  </si>
  <si>
    <t>Wydajność cieplna powyżej 5,5 MW</t>
  </si>
  <si>
    <t>OA-II</t>
  </si>
  <si>
    <t>OCHRONA POWIETRZA - TERMOMODERNIZACJA</t>
  </si>
  <si>
    <t>(dla obiektów posiadających własną kotłownię)</t>
  </si>
  <si>
    <t>1. Charakterystyka przedsięwzięcia w zakresie przegród:</t>
  </si>
  <si>
    <t>L.p</t>
  </si>
  <si>
    <t>Parametr ilościowy</t>
  </si>
  <si>
    <t>2. Charakterystyka przedsiewziecia w zakresie instalacji:</t>
  </si>
  <si>
    <t>Sposób wykonania usprawnienia</t>
  </si>
  <si>
    <t>Pompy ciepła - moc [kW]</t>
  </si>
  <si>
    <t>Pompy ciepła - wskaźnik COP</t>
  </si>
  <si>
    <t>3. Charakterystyka kotłowni</t>
  </si>
  <si>
    <t>OA-III</t>
  </si>
  <si>
    <t>nazwa przedsięwzięcia</t>
  </si>
  <si>
    <t>1. Charakterystyka obiektu:</t>
  </si>
  <si>
    <t>Przed termomodernizacją</t>
  </si>
  <si>
    <t>Po termomodernizacji</t>
  </si>
  <si>
    <t>Dostawca ciepła:</t>
  </si>
  <si>
    <t>Sprawność cieplna systemu grzewczego [%]</t>
  </si>
  <si>
    <t>Przyjęta do obliczeń tabela wg. KOBIZE:</t>
  </si>
  <si>
    <t>Roczna zużycie ciepła (RPC) [GJ/rok]</t>
  </si>
  <si>
    <t>OA-IV</t>
  </si>
  <si>
    <t>2. Dane techniczne:</t>
  </si>
  <si>
    <t>Moc znamionowa</t>
  </si>
  <si>
    <t>kW</t>
  </si>
  <si>
    <t>Podstawowe dane techniczne urządzenia:</t>
  </si>
  <si>
    <t>Kolektory słoneczne</t>
  </si>
  <si>
    <t>Panele fotowoltaiczne</t>
  </si>
  <si>
    <t>Pompy ciepła</t>
  </si>
  <si>
    <t>COP</t>
  </si>
  <si>
    <t>Rekuperator</t>
  </si>
  <si>
    <t>Sprawność odzysku (%)</t>
  </si>
  <si>
    <t>Inne:</t>
  </si>
  <si>
    <t>Produkcja energii cieplnej z OZE [GJ/rok]</t>
  </si>
  <si>
    <t>Produkcja energii elektrycznej z OZE [MWh/rok]</t>
  </si>
  <si>
    <t>Zużycie energii elektrycznej do wytworzenia energii cieplnej i/lub energii elektrycznej z OZE [MWh/rok]</t>
  </si>
  <si>
    <t>Roczne zużycie energii przed modernizacją [MWh/rok]</t>
  </si>
  <si>
    <t>Roczne zużycie energii po modernizacji [MWh/rok]</t>
  </si>
  <si>
    <t>Oszczędność w zużyciu energii [MWh/rok]</t>
  </si>
  <si>
    <t>Roczne zużycie ciepła przed instalacją OZE [GJ/rok]</t>
  </si>
  <si>
    <t>Roczne zużycie energii elektrycznej do wyprodukowania energii OZE [MWh/rok]</t>
  </si>
  <si>
    <t>Produkcja energii cieplnej lub elektrycznej w OZE</t>
  </si>
  <si>
    <t>Zużycie ciepła po instalacji OZE</t>
  </si>
  <si>
    <t>Tabela 10. Produkcja wyrobów z pozostałaych mineralnych surowców niemetalicznych (dział 23)</t>
  </si>
  <si>
    <t>Produkcja wyrobów z pozostałaych mineralnych surowców niemetalicznych (dział 23)</t>
  </si>
  <si>
    <t>Tabela 15</t>
  </si>
  <si>
    <t>Tabela 11 . Inne przemysły</t>
  </si>
  <si>
    <t>Tabela 12 . Instytucje/handel/usługi</t>
  </si>
  <si>
    <t>Tabela 13 . Rolnictwo, leśnictwo i rybołówstwo</t>
  </si>
  <si>
    <t>GJ/rok</t>
  </si>
  <si>
    <t>Wskaźnik emisyjności CO2 dla energii elektrycznej</t>
  </si>
  <si>
    <t>MgCO2/MWh</t>
  </si>
  <si>
    <t>MWh/rok</t>
  </si>
  <si>
    <t>Wskaźnik emisyjności CO2 dla energii cieplnej</t>
  </si>
  <si>
    <t>TAK</t>
  </si>
  <si>
    <t>NIE</t>
  </si>
  <si>
    <t>Wydajność cieplna poniżej 5,0 MW</t>
  </si>
  <si>
    <t>Q&lt;=5,0 MW</t>
  </si>
  <si>
    <t>planowane zmniejszenie zużycia energii wg audytu</t>
  </si>
  <si>
    <t>2. Charakterystyka przedsięwzięcia w zakresie przegród:</t>
  </si>
  <si>
    <t>3. Charakterystyka przedsięwzięcia w zakresie instalacji:</t>
  </si>
  <si>
    <t>Sprawność instalacji odpylającej n %</t>
  </si>
  <si>
    <t>Jeżeli wszystkie pola są poprawnie wypełnione, tj. nie posiadają znaku "#N/D!" lub "#ARG!" można wydrukować wybrany arkusz</t>
  </si>
  <si>
    <t>Efekty ekologiczne:</t>
  </si>
  <si>
    <t>OA-III – termomodernizacja  - druk dotyczy termomodernizacji budynków które nie posiadają własnej kotłowni a zasilane są poprzez siec cieplną i rozliczenie następuje na podstawie faktur za dostawę energii cieplnej, np. w GJ;</t>
  </si>
  <si>
    <t>Dla gazu wysokometanowego i zaazotowanego, S przyjmujemy równe 0 (zero)</t>
  </si>
  <si>
    <t>Zawartość popiołu w paliwie - A (%)</t>
  </si>
  <si>
    <t>Moc zamówiona dla c.w.u. [kW]</t>
  </si>
  <si>
    <t>Pompa ciepła</t>
  </si>
  <si>
    <t>Brak oliczeń KOBIZE</t>
  </si>
  <si>
    <t>Moc zamówiona [kW]</t>
  </si>
  <si>
    <t>Tabela 16. Wartości opałowe i wskaźniki emisji dla pozostałych paliw</t>
  </si>
  <si>
    <t>Tabela 17. Wskaźniki emisji dla węgla kamiennego i brunatnego, obliczone w oparciu o średnie krajowe WO dla tych paliw</t>
  </si>
  <si>
    <t>Tabela 16</t>
  </si>
  <si>
    <t>Tabela 17</t>
  </si>
  <si>
    <t>Tabela 14. Wartości opałowe i wskaźniki emisji dla gazu ziemnego spalanego w sektorach wymienionych w tabelach 1-11</t>
  </si>
  <si>
    <t>Tabela 15. Wartości opałowe i wskaźniki emisji dla gazu ziemnego spalanego w sektorach wymienionych w tabelach 12-13</t>
  </si>
  <si>
    <t>Wartośc opałowa (WO)*</t>
  </si>
  <si>
    <t xml:space="preserve">Ściany zewnętrzne </t>
  </si>
  <si>
    <t xml:space="preserve">Dachy, stropodachy </t>
  </si>
  <si>
    <t>Stolarka okienna</t>
  </si>
  <si>
    <t>Zakres robót termomodernizacyjnych - rodzaj przegrody</t>
  </si>
  <si>
    <t>Zakres robót termomodernizacyjnych - rodzaj instalacji</t>
  </si>
  <si>
    <t xml:space="preserve">Stolarka drzwiowa </t>
  </si>
  <si>
    <t>olej opałowy</t>
  </si>
  <si>
    <t>Roczne zapotrzebowanie na ciepło [GJ/rok] wg audytu</t>
  </si>
  <si>
    <t>[%]</t>
  </si>
  <si>
    <t>szt.</t>
  </si>
  <si>
    <t>Wentylacja</t>
  </si>
  <si>
    <t>Ciepła woda uzytkowa zużycie</t>
  </si>
  <si>
    <t>Centralne ogrzewanie - sprawność systemu</t>
  </si>
  <si>
    <t>Centralne ogrzewanie</t>
  </si>
  <si>
    <t>Energia elektryczna</t>
  </si>
  <si>
    <t>-</t>
  </si>
  <si>
    <t>(dla obiektów podłączonych do sieci ciepłowniczej)</t>
  </si>
  <si>
    <t>Suma [m2] [szt.]</t>
  </si>
  <si>
    <t>[szt.]</t>
  </si>
  <si>
    <t>Czy minimalny uzysk spełnia wymagania techniczne?</t>
  </si>
  <si>
    <t>*WE = 0 wg wytycznych KOBIZE 2022</t>
  </si>
  <si>
    <t>OA - V</t>
  </si>
  <si>
    <r>
      <t xml:space="preserve">EFEKT RZECZOWY I  EKOLOGICZNY </t>
    </r>
    <r>
      <rPr>
        <vertAlign val="superscript"/>
        <sz val="9"/>
        <color theme="1"/>
        <rFont val="Arial"/>
        <family val="2"/>
        <charset val="238"/>
      </rPr>
      <t>[1]</t>
    </r>
  </si>
  <si>
    <t>1. Dane techniczne instalacji fotowoltaicznej:</t>
  </si>
  <si>
    <t>Łączna moc znamionowa</t>
  </si>
  <si>
    <t>2. Dane techniczne magazynu energii:</t>
  </si>
  <si>
    <t>Liczba magazynów</t>
  </si>
  <si>
    <t>Łączna pojemność użytkowa magazynu</t>
  </si>
  <si>
    <t>kWh</t>
  </si>
  <si>
    <t>3. Podstawowe dane techniczne urządzenia, do którego ma być podłączony magazyn energii:</t>
  </si>
  <si>
    <t>Rodzaj instalacji:</t>
  </si>
  <si>
    <t>Moc instalacji</t>
  </si>
  <si>
    <t>Elektrownia wiatrowa</t>
  </si>
  <si>
    <t>Inne OZE (jakie?):</t>
  </si>
  <si>
    <t>Produkcja energii elektrycznej z OZE</t>
  </si>
  <si>
    <t>Zużycie energii elektrycznej do wytworzenia energii cieplnej i/lub energii elektrycznej z OZE</t>
  </si>
  <si>
    <r>
      <t>Redukcja lub uniknięcie emisji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- dla instalacji OZE</t>
    </r>
  </si>
  <si>
    <t>Mg/rok</t>
  </si>
  <si>
    <r>
      <t>Redukcja lub uniknięcie emisji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- dla magazynu energii</t>
    </r>
  </si>
  <si>
    <r>
      <t>Redukcja lub uniknięcie emisji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- dla instalacji OZE wraz z magazynem energii</t>
    </r>
  </si>
  <si>
    <t>Minimalny uzysk energii</t>
  </si>
  <si>
    <t>kWh
/(kWp x rok)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</si>
  <si>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</si>
  <si>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</si>
  <si>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</si>
  <si>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</si>
  <si>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OA - VI</t>
  </si>
  <si>
    <t>1. Efekt ekologiczny dla stacji ładowania pojazdów o napędzie elektrycznym lub wodorowym (dotyczy pojazdów samochodowych osobowych)</t>
  </si>
  <si>
    <t>Liczba stacji ładowania pojazdów</t>
  </si>
  <si>
    <t>Łączna moc stacji ładowania pojazdów</t>
  </si>
  <si>
    <r>
      <t>Współczynnik wykorzystania (udział czasu ładowania w roku)</t>
    </r>
    <r>
      <rPr>
        <vertAlign val="superscript"/>
        <sz val="11"/>
        <color theme="1"/>
        <rFont val="Arial"/>
        <family val="2"/>
        <charset val="238"/>
      </rPr>
      <t>[2]</t>
    </r>
  </si>
  <si>
    <r>
      <t>Redukcja lub uniknięcie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(pojazd osobowy)</t>
    </r>
  </si>
  <si>
    <t>2. Efekt ekologiczny dla stacji ładowania pojazdów o napędzie elektrycznym lub wodorowym (dotyczy pojazdów samochodowych pozostałych)</t>
  </si>
  <si>
    <r>
      <t>Redukcja lub uniknięcie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(pojazd pozostały)</t>
    </r>
  </si>
  <si>
    <t>3. Efekt ekologiczny dla pojazdów o napędzie elektrycznym lub wodorowym 
(dotyczy pojazdów samochodowych osobowych)</t>
  </si>
  <si>
    <t>Łączna liczba przejechanych kilometrów w ciągu roku</t>
  </si>
  <si>
    <t>km/rok</t>
  </si>
  <si>
    <t>Liczba pojazdów samochodowych o napędzie elektrycznym/wodorowym (osobowy)</t>
  </si>
  <si>
    <t>4. Efekt ekologiczny dla pojazdów o napędzie elektrycznym lub wodorowym 
(dotyczy pojazdów samochodowych pozostałych)</t>
  </si>
  <si>
    <t>Liczba pojazdów samochodowych o napędzie elektrycznym/wodorowym (pozostały)</t>
  </si>
  <si>
    <t>5. Efekt końcowy</t>
  </si>
  <si>
    <r>
      <t>Redukcja lub uniknięcie CO</t>
    </r>
    <r>
      <rPr>
        <vertAlign val="subscript"/>
        <sz val="11"/>
        <color theme="1"/>
        <rFont val="Arial"/>
        <family val="2"/>
        <charset val="238"/>
      </rPr>
      <t>2</t>
    </r>
  </si>
  <si>
    <r>
      <t>Wskaźnik emisyjności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dla energii elektrycznej</t>
    </r>
  </si>
  <si>
    <r>
      <t>MgCO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>/MWh</t>
    </r>
  </si>
  <si>
    <t>średnie zużycie energii elektrycznej samochodu osobowego</t>
  </si>
  <si>
    <t>kWh/km</t>
  </si>
  <si>
    <t>średnie zużycie energii elektrycznej samochodu pozostałego</t>
  </si>
  <si>
    <t>średnia wartość emisji z samochodu osobowego spalinowego</t>
  </si>
  <si>
    <r>
      <t>g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>/km</t>
    </r>
  </si>
  <si>
    <t>średnia wartość emisji z samochodu pozostałego spalinowego</t>
  </si>
  <si>
    <r>
      <t>EFEKT RZECZOWY i EKOLOGICZNY</t>
    </r>
    <r>
      <rPr>
        <vertAlign val="superscript"/>
        <sz val="11"/>
        <rFont val="Arial"/>
        <family val="2"/>
        <charset val="238"/>
      </rPr>
      <t>[1]</t>
    </r>
  </si>
  <si>
    <r>
      <t>Zawartość Siarki całkowitej</t>
    </r>
    <r>
      <rPr>
        <vertAlign val="sub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w paliwie - S (%)</t>
    </r>
  </si>
  <si>
    <r>
      <t>2. Obliczenie wielkości emisji SO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, NO</t>
    </r>
    <r>
      <rPr>
        <vertAlign val="subscript"/>
        <sz val="11"/>
        <rFont val="Arial"/>
        <family val="2"/>
        <charset val="238"/>
      </rPr>
      <t>X</t>
    </r>
    <r>
      <rPr>
        <sz val="11"/>
        <rFont val="Arial"/>
        <family val="2"/>
        <charset val="238"/>
      </rPr>
      <t>, CO, PYŁU przed i po modernizacji kotłowni:**</t>
    </r>
  </si>
  <si>
    <r>
      <t>Dwutlenek siarki (SO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</si>
  <si>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r>
      <t>Dwutlenek azotu (NO</t>
    </r>
    <r>
      <rPr>
        <vertAlign val="subscript"/>
        <sz val="10"/>
        <rFont val="Arial"/>
        <family val="2"/>
        <charset val="238"/>
      </rPr>
      <t>x</t>
    </r>
    <r>
      <rPr>
        <sz val="10"/>
        <rFont val="Arial"/>
        <family val="2"/>
        <charset val="238"/>
      </rPr>
      <t>)</t>
    </r>
  </si>
  <si>
    <r>
      <t>3. Obliczenie wielkości emisji 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przed i po modernizacji kotłowni:</t>
    </r>
  </si>
  <si>
    <r>
      <t>Dwutlenek wegla (CO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 (RPC x WE)</t>
    </r>
  </si>
  <si>
    <r>
      <t>SO</t>
    </r>
    <r>
      <rPr>
        <vertAlign val="subscript"/>
        <sz val="10"/>
        <rFont val="Arial"/>
        <family val="2"/>
        <charset val="238"/>
      </rPr>
      <t>2</t>
    </r>
  </si>
  <si>
    <r>
      <t>NO</t>
    </r>
    <r>
      <rPr>
        <vertAlign val="subscript"/>
        <sz val="10"/>
        <rFont val="Arial"/>
        <family val="2"/>
        <charset val="238"/>
      </rPr>
      <t>2</t>
    </r>
  </si>
  <si>
    <r>
      <t>CO</t>
    </r>
    <r>
      <rPr>
        <vertAlign val="subscript"/>
        <sz val="10"/>
        <rFont val="Arial"/>
        <family val="2"/>
        <charset val="238"/>
      </rPr>
      <t>2</t>
    </r>
  </si>
  <si>
    <r>
      <t>SO</t>
    </r>
    <r>
      <rPr>
        <vertAlign val="subscript"/>
        <sz val="11"/>
        <color theme="1"/>
        <rFont val="Arial"/>
        <family val="2"/>
        <charset val="238"/>
      </rPr>
      <t>2</t>
    </r>
  </si>
  <si>
    <r>
      <t>NO</t>
    </r>
    <r>
      <rPr>
        <vertAlign val="subscript"/>
        <sz val="11"/>
        <color theme="1"/>
        <rFont val="Arial"/>
        <family val="2"/>
        <charset val="238"/>
      </rPr>
      <t>x</t>
    </r>
  </si>
  <si>
    <r>
      <t>Dwutlenek siarki (SO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)</t>
    </r>
  </si>
  <si>
    <r>
      <t>Dwutlenek azotu (NO</t>
    </r>
    <r>
      <rPr>
        <vertAlign val="subscript"/>
        <sz val="11"/>
        <rFont val="Arial"/>
        <family val="2"/>
        <charset val="238"/>
      </rPr>
      <t>x</t>
    </r>
    <r>
      <rPr>
        <sz val="11"/>
        <rFont val="Arial"/>
        <family val="2"/>
        <charset val="238"/>
      </rPr>
      <t>)</t>
    </r>
  </si>
  <si>
    <r>
      <t>Dwutlenek wegla (CO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)</t>
    </r>
  </si>
  <si>
    <r>
      <t>MJ/m</t>
    </r>
    <r>
      <rPr>
        <vertAlign val="superscript"/>
        <sz val="11"/>
        <color theme="1"/>
        <rFont val="Arial"/>
        <family val="2"/>
        <charset val="238"/>
      </rPr>
      <t>3</t>
    </r>
  </si>
  <si>
    <r>
      <t xml:space="preserve">Współczynnik przenikania [U]
</t>
    </r>
    <r>
      <rPr>
        <sz val="8"/>
        <rFont val="Arial"/>
        <family val="2"/>
        <charset val="238"/>
      </rPr>
      <t>[W/m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K]</t>
    </r>
  </si>
  <si>
    <r>
      <t>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]</t>
    </r>
  </si>
  <si>
    <r>
      <t>Suma 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]</t>
    </r>
  </si>
  <si>
    <r>
      <t>Kolektory słoneczne 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/szt.]</t>
    </r>
  </si>
  <si>
    <r>
      <t>4. Obliczenie wielkości emisji SO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, NO</t>
    </r>
    <r>
      <rPr>
        <vertAlign val="subscript"/>
        <sz val="11"/>
        <rFont val="Arial"/>
        <family val="2"/>
        <charset val="238"/>
      </rPr>
      <t>X</t>
    </r>
    <r>
      <rPr>
        <sz val="11"/>
        <rFont val="Arial"/>
        <family val="2"/>
        <charset val="238"/>
      </rPr>
      <t>, CO, PYŁU przed i po modernizacji kotłowni:**</t>
    </r>
  </si>
  <si>
    <r>
      <t>5. Obliczenie wielkości emisji 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przed i po modernizacji kotłowni:</t>
    </r>
  </si>
  <si>
    <r>
      <t>Dwutlenek wegla (CO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  (RPC x WE)</t>
    </r>
  </si>
  <si>
    <r>
      <t>Kubatura ogrzewana [m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]</t>
    </r>
  </si>
  <si>
    <r>
      <t>Stolarka okienna 
Suma 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] [szt.]</t>
    </r>
  </si>
  <si>
    <r>
      <t>Stolarka drzwiowa
Suma 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] [szt.]</t>
    </r>
  </si>
  <si>
    <r>
      <t>4. Obliczenie wielkości emisji 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przed i po termomodernizacji:*</t>
    </r>
  </si>
  <si>
    <r>
      <t xml:space="preserve">1. Rodzaj urządzenia do produkcji energii: </t>
    </r>
    <r>
      <rPr>
        <sz val="8"/>
        <rFont val="Arial"/>
        <family val="2"/>
        <charset val="238"/>
      </rPr>
      <t>(wymienić)</t>
    </r>
  </si>
  <si>
    <r>
      <t>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/szt.</t>
    </r>
  </si>
  <si>
    <r>
      <t>Redukcja lub uniknięcie emisji CO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[Mg/rok]</t>
    </r>
  </si>
  <si>
    <r>
      <t xml:space="preserve">4. Efekt ekologiczny - oszczędność energii elektrycznej: </t>
    </r>
    <r>
      <rPr>
        <sz val="8"/>
        <rFont val="Arial"/>
        <family val="2"/>
        <charset val="238"/>
      </rPr>
      <t>(m. in. wymiana oświetlenia)</t>
    </r>
  </si>
  <si>
    <r>
      <t xml:space="preserve">5. Efekt ekologiczny: </t>
    </r>
    <r>
      <rPr>
        <sz val="8"/>
        <rFont val="Arial"/>
        <family val="2"/>
        <charset val="238"/>
      </rPr>
      <t>(dla istniejących budynków zasilanych z sieci cieplnych)</t>
    </r>
  </si>
  <si>
    <r>
      <t>6. Obliczenie wielkości emisji 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przed i po modernizacji:*</t>
    </r>
  </si>
  <si>
    <r>
      <t>OCHRONA POWIETRZA - ODNAWIALNE ŹRODŁA ENERGII</t>
    </r>
    <r>
      <rPr>
        <vertAlign val="superscript"/>
        <sz val="10"/>
        <rFont val="Arial"/>
        <family val="2"/>
        <charset val="238"/>
      </rPr>
      <t>[2]</t>
    </r>
    <r>
      <rPr>
        <sz val="1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ORAZ</t>
    </r>
    <r>
      <rPr>
        <sz val="10"/>
        <rFont val="Arial"/>
        <family val="2"/>
        <charset val="238"/>
      </rPr>
      <t xml:space="preserve"> OSZCZĘDNOŚĆ ENERGII ELEKTRYCZNEJ </t>
    </r>
    <r>
      <rPr>
        <sz val="8"/>
        <rFont val="Arial"/>
        <family val="2"/>
        <charset val="238"/>
      </rPr>
      <t>LUB</t>
    </r>
    <r>
      <rPr>
        <sz val="10"/>
        <rFont val="Arial"/>
        <family val="2"/>
        <charset val="238"/>
      </rPr>
      <t xml:space="preserve"> CIEPLNEJ</t>
    </r>
  </si>
  <si>
    <r>
      <t xml:space="preserve">3. Efekt ekologiczny: </t>
    </r>
    <r>
      <rPr>
        <sz val="8"/>
        <rFont val="Arial"/>
        <family val="2"/>
        <charset val="238"/>
      </rPr>
      <t>(dla pomp ciepła dla nowobudowanych budynków, wiatraków, elektrowni wodnych, oświetlenia hybrydowego, układów kogeneracyjnych)</t>
    </r>
  </si>
  <si>
    <t>OCHRONA POWIETRZA - ELEKTROMOBILNOŚĆ I STACJE ŁADOWANIA POJAZDÓW</t>
  </si>
  <si>
    <t>[1] Wyłącznie na potrzeby statystyczne WFOŚiGW
[2] współczynnik wykorzystania - udział czasu ładowania w roku wyrażony w [%], np. 200h/8760h</t>
  </si>
  <si>
    <t>[1] Wyłącznie na potrzeby statystyczne WFOŚiGW
[2] Dla instalacji fotowoltaicznych przeznaczony jest efekt ekologiczny OA-V
* wg KOBIZE "Wartości opałowe (WO) i wskaźniki emisji CO2 (WE) w roku 2020 do raportowania w ramach Systemu Handlu Uprawnieniami do Emisji za rok 2023"</t>
  </si>
  <si>
    <t>[1] Wyłącznie na potrzeby statystyczne WFOŚiGW
* wg KOBIZE "Wartości opałowe (WO) i wskaźniki emisji CO2 (WE) w roku 2020 do raportowania w ramach Systemu Handlu Uprawnieniami do Emisji za rok 2023"</t>
  </si>
  <si>
    <t xml:space="preserve">[1] Wyłącznie na potrzeby statystyczne WFOŚiGW
* wg KOBIZE "Wartości opałowe (WO) i wskaźniki emisji CO2 (WE) w roku 2020 do raportowania w ramach Systemu Handlu Uprawnieniami do Emisji za rok 2023"
** wg "Zestawienia wzorów i wskaźników emisji substancji zanieczyszczających wprowadzanych do powietrza" dostępnego na stronie internetowej WFOŚiGW w Poznaniu www.wfosigw.poznan.pl </t>
  </si>
  <si>
    <t>….......................................................................</t>
  </si>
  <si>
    <t>…....................................................................................</t>
  </si>
  <si>
    <t>…......................................................................</t>
  </si>
  <si>
    <t>….............................................................................</t>
  </si>
  <si>
    <t>UWAGA: Należy wypełnić punkt/y dotyczące zakresu wnioskowanego przedsięwzięcia, wyłącznie pola oznaczone kolorem szarym. Pola nadliczbowe należy pominąć. Czerwony kolor pola oznacza błąd, należy skorygować dane.</t>
  </si>
  <si>
    <t>1.</t>
  </si>
  <si>
    <t>2.</t>
  </si>
  <si>
    <t>3.</t>
  </si>
  <si>
    <t>4.</t>
  </si>
  <si>
    <t>5.</t>
  </si>
  <si>
    <t>6.</t>
  </si>
  <si>
    <t>Należy wybrać arkusz odpowiadający zakresowi realizowanego przedsięwzięcia, tj. np. OA-II.</t>
  </si>
  <si>
    <t>UWAGA: Należy wypełniać wszystkie szare pola w kolumnach zaczynając od góry</t>
  </si>
  <si>
    <t>OCHRONA POWIETRZA - INSTALACJA FOTOWOLTAICZNA I/LUB MAGAZYN ENERGII</t>
  </si>
  <si>
    <r>
      <t xml:space="preserve">4. Efekt ekologiczny </t>
    </r>
    <r>
      <rPr>
        <b/>
        <vertAlign val="superscript"/>
        <sz val="11"/>
        <color theme="1"/>
        <rFont val="Arial"/>
        <family val="2"/>
        <charset val="238"/>
      </rPr>
      <t>[2]</t>
    </r>
    <r>
      <rPr>
        <b/>
        <sz val="11"/>
        <color theme="1"/>
        <rFont val="Arial"/>
        <family val="2"/>
        <charset val="238"/>
      </rPr>
      <t>:</t>
    </r>
  </si>
  <si>
    <t>Instrukcja postępowania dla druków efektów ekologicznych OA-I, OA-II, OA-III, OA-IV, OA-V, OA-VI</t>
  </si>
  <si>
    <t>OA-I – modernizacja kotłowni  – druk dotyczy modernizacji kotłowni indywidualnych, zbiorczych (osiedlowych). W przypadku wykonywania modernizacji kotłowni i montażu OZE w jednym przedsięwzięciu, zakres OZE - instalacja PV podajemy na druku OA-V; pozostałe OZE podajemy na druku OA-IV;</t>
  </si>
  <si>
    <t>OA-II – termomodernizacja  – druk dotyczy termomodernizacji budynków które zasilane są z kotłowni indywidualnych. Dotyczy to również zespołu budynków które zasilane są z jednej kotłowni, zbiorczej (osiedlowych). W przypadku wykonywania termomodernizacji budynku posiadającego własną kotłownie i montażu OZE w jednym przedsięwzięciu, zakres OZE - instalacja PV podajemy na druku OA-V; pozostałe OZE podajemy na druku OA-IV;</t>
  </si>
  <si>
    <t>OA-VI – elektromobilność i stacje ładowania pojadów  – druk należy wypełnić zgodnie z zaleceniami ujętymi w arkuszu.</t>
  </si>
  <si>
    <t>OA-IV – odnawialne źródła energii i oszczędność energii  – druk dotyczy montażu urządzeń związanych z energetyką odnawialną (nie dotyczy instalacji fotowoltaicznej) oraz oszczędności energii elektrycznej lub cieplnej;</t>
  </si>
  <si>
    <t>OA-V – instalacja fotowoltaiczna i/lub magazyn energii  – druk dotyczy montażu instalacji fotowoltaicznej i/lub magazynu energii. W przypadku podłączenia magazynu energii do istniejącej oraz nowej instalacji fotowoltaicznej należy wypełnić oddzielne arkusze efektu dla każdej instalacji fotowoltaicznej. 
W pola, które nie dotyczą zakresu przedsięwzięcia nie należy wpisywać "n/d" (należy pozostawić niewypełnione pole lub wpisać "0").</t>
  </si>
  <si>
    <t>[1] Wyłącznie na potrzeby statystyczne WFOŚiGW
[2] W przypadku podłączenia magazynu energii do istniejącej oraz nowej instalacji fotowoltaicznej należy wypełnić oddzielne arkusze efektu dla każdej instalacji fotowoltaicznej.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</si>
</sst>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0000"/>
    <numFmt numFmtId="166" formatCode="#,##0.0"/>
    <numFmt numFmtId="167" formatCode="#,##0.000000"/>
    <numFmt numFmtId="168" formatCode="yyyy/mm/dd;@"/>
    <numFmt numFmtId="169" formatCode="#,##0.000"/>
  </numFmts>
  <fonts count="4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4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10"/>
      <name val="Arial CE"/>
      <charset val="238"/>
    </font>
    <font>
      <b/>
      <sz val="11"/>
      <name val="Czcionka tekstu podstawowego"/>
      <charset val="238"/>
    </font>
    <font>
      <b/>
      <sz val="10"/>
      <name val="Czcionka tekstu podstawowego"/>
      <charset val="238"/>
    </font>
    <font>
      <sz val="18"/>
      <color theme="1"/>
      <name val="Czcionka tekstu podstawowego"/>
      <family val="2"/>
      <charset val="238"/>
    </font>
    <font>
      <sz val="10"/>
      <name val="Czcionka tekstu podstawowego"/>
      <charset val="238"/>
    </font>
    <font>
      <vertAlign val="superscript"/>
      <sz val="18"/>
      <color theme="1"/>
      <name val="Czcionka tekstu podstawowego"/>
      <charset val="238"/>
    </font>
    <font>
      <vertAlign val="superscript"/>
      <sz val="11"/>
      <color theme="1"/>
      <name val="Czcionka tekstu podstawowego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bscript"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4"/>
      <color theme="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8"/>
      <name val="Arial"/>
      <family val="2"/>
      <charset val="238"/>
    </font>
    <font>
      <vertAlign val="subscript"/>
      <sz val="10"/>
      <name val="Arial"/>
      <family val="2"/>
      <charset val="238"/>
    </font>
    <font>
      <vertAlign val="subscript"/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14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8"/>
      <color theme="1"/>
      <name val="Czcionka tekstu podstawowego"/>
      <charset val="238"/>
    </font>
    <font>
      <b/>
      <vertAlign val="superscript"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/>
      <right/>
      <top/>
      <bottom/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4" fillId="0" borderId="0"/>
    <xf numFmtId="0" fontId="5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1" fillId="0" borderId="0"/>
    <xf numFmtId="9" fontId="26" fillId="0" borderId="0" applyFont="0" applyFill="0" applyBorder="0" applyAlignment="0" applyProtection="0"/>
    <xf numFmtId="0" fontId="26" fillId="0" borderId="0"/>
  </cellStyleXfs>
  <cellXfs count="467">
    <xf numFmtId="0" fontId="0" fillId="0" borderId="0" xfId="0"/>
    <xf numFmtId="0" fontId="0" fillId="0" borderId="0" xfId="0" applyProtection="1">
      <protection hidden="1"/>
    </xf>
    <xf numFmtId="0" fontId="5" fillId="0" borderId="0" xfId="2" applyAlignment="1" applyProtection="1">
      <alignment horizontal="center"/>
      <protection hidden="1"/>
    </xf>
    <xf numFmtId="0" fontId="6" fillId="0" borderId="0" xfId="2" applyFont="1" applyProtection="1">
      <protection hidden="1"/>
    </xf>
    <xf numFmtId="0" fontId="8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5" fillId="0" borderId="1" xfId="5" applyBorder="1" applyProtection="1">
      <protection hidden="1"/>
    </xf>
    <xf numFmtId="0" fontId="8" fillId="0" borderId="1" xfId="0" applyFont="1" applyBorder="1" applyProtection="1">
      <protection hidden="1"/>
    </xf>
    <xf numFmtId="0" fontId="8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left" indent="23"/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left"/>
      <protection hidden="1"/>
    </xf>
    <xf numFmtId="165" fontId="8" fillId="0" borderId="0" xfId="0" applyNumberFormat="1" applyFont="1" applyAlignment="1" applyProtection="1">
      <alignment horizontal="right"/>
      <protection hidden="1"/>
    </xf>
    <xf numFmtId="0" fontId="11" fillId="0" borderId="0" xfId="0" applyFont="1" applyProtection="1">
      <protection hidden="1"/>
    </xf>
    <xf numFmtId="0" fontId="5" fillId="0" borderId="0" xfId="5" applyProtection="1">
      <protection hidden="1"/>
    </xf>
    <xf numFmtId="0" fontId="13" fillId="0" borderId="0" xfId="0" applyFont="1" applyProtection="1">
      <protection hidden="1"/>
    </xf>
    <xf numFmtId="0" fontId="9" fillId="0" borderId="0" xfId="5" applyFont="1" applyAlignment="1" applyProtection="1">
      <alignment horizontal="center"/>
      <protection hidden="1"/>
    </xf>
    <xf numFmtId="0" fontId="9" fillId="0" borderId="0" xfId="5" applyFont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vertical="top" wrapText="1"/>
      <protection hidden="1"/>
    </xf>
    <xf numFmtId="0" fontId="20" fillId="3" borderId="0" xfId="9" applyFont="1" applyFill="1" applyProtection="1">
      <protection hidden="1"/>
    </xf>
    <xf numFmtId="0" fontId="19" fillId="3" borderId="0" xfId="9" applyFont="1" applyFill="1" applyAlignment="1" applyProtection="1">
      <alignment vertical="top"/>
      <protection hidden="1"/>
    </xf>
    <xf numFmtId="0" fontId="18" fillId="3" borderId="0" xfId="9" applyFont="1" applyFill="1" applyProtection="1">
      <protection hidden="1"/>
    </xf>
    <xf numFmtId="0" fontId="20" fillId="3" borderId="0" xfId="9" applyFont="1" applyFill="1" applyAlignment="1" applyProtection="1">
      <alignment wrapText="1"/>
      <protection hidden="1"/>
    </xf>
    <xf numFmtId="0" fontId="20" fillId="3" borderId="2" xfId="9" quotePrefix="1" applyFont="1" applyFill="1" applyBorder="1" applyAlignment="1" applyProtection="1">
      <alignment vertical="center"/>
      <protection hidden="1"/>
    </xf>
    <xf numFmtId="0" fontId="20" fillId="3" borderId="4" xfId="9" quotePrefix="1" applyFont="1" applyFill="1" applyBorder="1" applyAlignment="1" applyProtection="1">
      <alignment vertical="center"/>
      <protection hidden="1"/>
    </xf>
    <xf numFmtId="0" fontId="20" fillId="3" borderId="0" xfId="9" quotePrefix="1" applyFont="1" applyFill="1" applyProtection="1">
      <protection hidden="1"/>
    </xf>
    <xf numFmtId="0" fontId="20" fillId="3" borderId="0" xfId="9" applyFont="1" applyFill="1" applyAlignment="1" applyProtection="1">
      <alignment vertical="top"/>
      <protection hidden="1"/>
    </xf>
    <xf numFmtId="0" fontId="19" fillId="3" borderId="0" xfId="9" applyFont="1" applyFill="1" applyAlignment="1" applyProtection="1">
      <alignment vertical="top" wrapText="1"/>
      <protection hidden="1"/>
    </xf>
    <xf numFmtId="0" fontId="18" fillId="3" borderId="0" xfId="9" applyFont="1" applyFill="1" applyAlignment="1" applyProtection="1">
      <alignment horizontal="left"/>
      <protection hidden="1"/>
    </xf>
    <xf numFmtId="0" fontId="22" fillId="3" borderId="0" xfId="9" applyFont="1" applyFill="1" applyAlignment="1" applyProtection="1">
      <alignment horizontal="right" vertical="top"/>
      <protection hidden="1"/>
    </xf>
    <xf numFmtId="0" fontId="22" fillId="3" borderId="0" xfId="9" applyFont="1" applyFill="1" applyAlignment="1" applyProtection="1">
      <alignment vertical="top"/>
      <protection hidden="1"/>
    </xf>
    <xf numFmtId="0" fontId="22" fillId="3" borderId="0" xfId="9" applyFont="1" applyFill="1" applyProtection="1">
      <protection hidden="1"/>
    </xf>
    <xf numFmtId="0" fontId="19" fillId="3" borderId="0" xfId="9" applyFont="1" applyFill="1" applyAlignment="1" applyProtection="1">
      <alignment horizontal="left"/>
      <protection hidden="1"/>
    </xf>
    <xf numFmtId="0" fontId="20" fillId="0" borderId="0" xfId="11" applyFont="1" applyAlignment="1">
      <alignment horizontal="right"/>
    </xf>
    <xf numFmtId="0" fontId="20" fillId="0" borderId="0" xfId="11" applyFont="1"/>
    <xf numFmtId="0" fontId="19" fillId="3" borderId="0" xfId="8" applyFont="1" applyFill="1" applyAlignment="1" applyProtection="1">
      <alignment horizontal="center"/>
      <protection hidden="1"/>
    </xf>
    <xf numFmtId="0" fontId="20" fillId="3" borderId="0" xfId="0" applyFont="1" applyFill="1" applyProtection="1">
      <protection hidden="1"/>
    </xf>
    <xf numFmtId="0" fontId="27" fillId="3" borderId="0" xfId="0" applyFont="1" applyFill="1" applyProtection="1">
      <protection hidden="1"/>
    </xf>
    <xf numFmtId="0" fontId="28" fillId="3" borderId="0" xfId="0" applyFont="1" applyFill="1" applyAlignment="1" applyProtection="1">
      <alignment vertical="center" wrapText="1"/>
      <protection hidden="1"/>
    </xf>
    <xf numFmtId="0" fontId="20" fillId="3" borderId="0" xfId="0" applyFont="1" applyFill="1" applyAlignment="1" applyProtection="1">
      <alignment wrapText="1"/>
      <protection hidden="1"/>
    </xf>
    <xf numFmtId="0" fontId="27" fillId="3" borderId="0" xfId="0" applyFont="1" applyFill="1" applyAlignment="1" applyProtection="1">
      <alignment wrapText="1"/>
      <protection hidden="1"/>
    </xf>
    <xf numFmtId="0" fontId="4" fillId="3" borderId="0" xfId="5" applyFont="1" applyFill="1" applyProtection="1">
      <protection hidden="1"/>
    </xf>
    <xf numFmtId="0" fontId="30" fillId="3" borderId="0" xfId="0" applyFont="1" applyFill="1" applyAlignment="1" applyProtection="1">
      <alignment vertical="center" wrapText="1"/>
      <protection hidden="1"/>
    </xf>
    <xf numFmtId="0" fontId="32" fillId="3" borderId="0" xfId="0" applyFont="1" applyFill="1" applyProtection="1">
      <protection hidden="1"/>
    </xf>
    <xf numFmtId="0" fontId="33" fillId="3" borderId="0" xfId="5" applyFont="1" applyFill="1" applyAlignment="1" applyProtection="1">
      <alignment horizontal="center"/>
      <protection hidden="1"/>
    </xf>
    <xf numFmtId="0" fontId="33" fillId="3" borderId="0" xfId="5" applyFont="1" applyFill="1" applyProtection="1">
      <protection hidden="1"/>
    </xf>
    <xf numFmtId="0" fontId="4" fillId="3" borderId="0" xfId="5" applyFont="1" applyFill="1" applyAlignment="1" applyProtection="1">
      <alignment horizontal="center"/>
      <protection hidden="1"/>
    </xf>
    <xf numFmtId="0" fontId="34" fillId="3" borderId="0" xfId="5" applyFont="1" applyFill="1" applyAlignment="1" applyProtection="1">
      <alignment horizontal="center" vertical="top"/>
      <protection hidden="1"/>
    </xf>
    <xf numFmtId="0" fontId="27" fillId="3" borderId="0" xfId="0" applyFont="1" applyFill="1" applyAlignment="1" applyProtection="1">
      <alignment vertical="top" wrapText="1"/>
      <protection hidden="1"/>
    </xf>
    <xf numFmtId="0" fontId="20" fillId="3" borderId="0" xfId="8" applyFont="1" applyFill="1" applyProtection="1">
      <protection hidden="1"/>
    </xf>
    <xf numFmtId="0" fontId="27" fillId="3" borderId="0" xfId="5" applyFont="1" applyFill="1" applyProtection="1">
      <protection hidden="1"/>
    </xf>
    <xf numFmtId="0" fontId="4" fillId="3" borderId="1" xfId="5" applyFont="1" applyFill="1" applyBorder="1" applyProtection="1">
      <protection hidden="1"/>
    </xf>
    <xf numFmtId="0" fontId="4" fillId="3" borderId="1" xfId="5" applyFont="1" applyFill="1" applyBorder="1" applyAlignment="1" applyProtection="1">
      <alignment horizontal="center"/>
      <protection hidden="1"/>
    </xf>
    <xf numFmtId="0" fontId="35" fillId="3" borderId="0" xfId="0" applyFont="1" applyFill="1" applyAlignment="1" applyProtection="1">
      <alignment horizontal="center" vertical="center"/>
      <protection hidden="1"/>
    </xf>
    <xf numFmtId="0" fontId="32" fillId="3" borderId="0" xfId="0" applyFont="1" applyFill="1" applyAlignment="1" applyProtection="1">
      <alignment vertical="center" wrapText="1"/>
      <protection hidden="1"/>
    </xf>
    <xf numFmtId="167" fontId="4" fillId="3" borderId="2" xfId="5" applyNumberFormat="1" applyFont="1" applyFill="1" applyBorder="1" applyProtection="1">
      <protection locked="0" hidden="1"/>
    </xf>
    <xf numFmtId="0" fontId="18" fillId="3" borderId="3" xfId="0" applyFont="1" applyFill="1" applyBorder="1" applyAlignment="1" applyProtection="1">
      <alignment horizontal="center" vertical="center"/>
      <protection hidden="1"/>
    </xf>
    <xf numFmtId="2" fontId="27" fillId="3" borderId="0" xfId="0" applyNumberFormat="1" applyFont="1" applyFill="1" applyProtection="1">
      <protection hidden="1"/>
    </xf>
    <xf numFmtId="0" fontId="4" fillId="3" borderId="1" xfId="5" applyFont="1" applyFill="1" applyBorder="1" applyAlignment="1" applyProtection="1">
      <alignment horizontal="center" vertical="center"/>
      <protection hidden="1"/>
    </xf>
    <xf numFmtId="4" fontId="32" fillId="3" borderId="0" xfId="0" applyNumberFormat="1" applyFont="1" applyFill="1" applyProtection="1">
      <protection hidden="1"/>
    </xf>
    <xf numFmtId="2" fontId="32" fillId="3" borderId="0" xfId="0" applyNumberFormat="1" applyFont="1" applyFill="1" applyProtection="1">
      <protection hidden="1"/>
    </xf>
    <xf numFmtId="4" fontId="4" fillId="3" borderId="1" xfId="0" applyNumberFormat="1" applyFont="1" applyFill="1" applyBorder="1" applyAlignment="1" applyProtection="1">
      <alignment horizontal="right"/>
      <protection hidden="1"/>
    </xf>
    <xf numFmtId="2" fontId="4" fillId="3" borderId="1" xfId="4" applyNumberFormat="1" applyFont="1" applyFill="1" applyBorder="1" applyAlignment="1" applyProtection="1">
      <alignment horizontal="right"/>
      <protection hidden="1"/>
    </xf>
    <xf numFmtId="0" fontId="38" fillId="3" borderId="0" xfId="0" applyFont="1" applyFill="1" applyProtection="1">
      <protection hidden="1"/>
    </xf>
    <xf numFmtId="164" fontId="27" fillId="3" borderId="0" xfId="0" applyNumberFormat="1" applyFont="1" applyFill="1" applyAlignment="1" applyProtection="1">
      <alignment horizontal="right"/>
      <protection hidden="1"/>
    </xf>
    <xf numFmtId="4" fontId="39" fillId="3" borderId="0" xfId="0" applyNumberFormat="1" applyFont="1" applyFill="1" applyProtection="1">
      <protection hidden="1"/>
    </xf>
    <xf numFmtId="4" fontId="20" fillId="3" borderId="0" xfId="0" applyNumberFormat="1" applyFont="1" applyFill="1" applyProtection="1">
      <protection hidden="1"/>
    </xf>
    <xf numFmtId="0" fontId="39" fillId="3" borderId="0" xfId="0" applyFont="1" applyFill="1" applyProtection="1">
      <protection hidden="1"/>
    </xf>
    <xf numFmtId="0" fontId="32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Protection="1">
      <protection hidden="1"/>
    </xf>
    <xf numFmtId="0" fontId="40" fillId="3" borderId="0" xfId="0" applyFont="1" applyFill="1" applyProtection="1">
      <protection hidden="1"/>
    </xf>
    <xf numFmtId="0" fontId="27" fillId="3" borderId="0" xfId="0" applyFont="1" applyFill="1" applyAlignment="1" applyProtection="1">
      <alignment vertical="center" wrapText="1"/>
      <protection hidden="1"/>
    </xf>
    <xf numFmtId="0" fontId="20" fillId="3" borderId="0" xfId="0" applyFont="1" applyFill="1" applyAlignment="1" applyProtection="1">
      <alignment vertical="center" wrapText="1"/>
      <protection hidden="1"/>
    </xf>
    <xf numFmtId="2" fontId="4" fillId="3" borderId="11" xfId="5" applyNumberFormat="1" applyFont="1" applyFill="1" applyBorder="1" applyAlignment="1" applyProtection="1">
      <alignment horizontal="center" vertical="center"/>
      <protection hidden="1"/>
    </xf>
    <xf numFmtId="0" fontId="4" fillId="3" borderId="13" xfId="5" applyFont="1" applyFill="1" applyBorder="1" applyAlignment="1" applyProtection="1">
      <alignment horizontal="center" vertical="center"/>
      <protection hidden="1"/>
    </xf>
    <xf numFmtId="0" fontId="4" fillId="3" borderId="11" xfId="5" applyFont="1" applyFill="1" applyBorder="1" applyAlignment="1" applyProtection="1">
      <alignment horizontal="center" vertical="center"/>
      <protection hidden="1"/>
    </xf>
    <xf numFmtId="0" fontId="4" fillId="3" borderId="3" xfId="5" applyFont="1" applyFill="1" applyBorder="1" applyAlignment="1" applyProtection="1">
      <alignment horizontal="center" vertical="center"/>
      <protection hidden="1"/>
    </xf>
    <xf numFmtId="4" fontId="4" fillId="3" borderId="2" xfId="5" applyNumberFormat="1" applyFont="1" applyFill="1" applyBorder="1" applyAlignment="1" applyProtection="1">
      <alignment horizontal="center" vertical="center"/>
      <protection hidden="1"/>
    </xf>
    <xf numFmtId="0" fontId="4" fillId="3" borderId="4" xfId="5" applyFont="1" applyFill="1" applyBorder="1" applyAlignment="1" applyProtection="1">
      <alignment horizontal="center" vertical="center"/>
      <protection hidden="1"/>
    </xf>
    <xf numFmtId="4" fontId="4" fillId="3" borderId="1" xfId="5" applyNumberFormat="1" applyFont="1" applyFill="1" applyBorder="1" applyAlignment="1" applyProtection="1">
      <alignment horizontal="center" vertical="center"/>
      <protection hidden="1"/>
    </xf>
    <xf numFmtId="0" fontId="4" fillId="3" borderId="0" xfId="5" applyFont="1" applyFill="1" applyAlignment="1" applyProtection="1">
      <alignment horizontal="center"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166" fontId="4" fillId="3" borderId="1" xfId="5" applyNumberFormat="1" applyFont="1" applyFill="1" applyBorder="1" applyAlignment="1" applyProtection="1">
      <alignment horizontal="center" vertical="center"/>
      <protection hidden="1"/>
    </xf>
    <xf numFmtId="166" fontId="33" fillId="3" borderId="1" xfId="5" applyNumberFormat="1" applyFont="1" applyFill="1" applyBorder="1" applyAlignment="1" applyProtection="1">
      <alignment horizontal="center" vertical="center"/>
      <protection hidden="1"/>
    </xf>
    <xf numFmtId="168" fontId="19" fillId="3" borderId="0" xfId="8" applyNumberFormat="1" applyFont="1" applyFill="1" applyAlignment="1" applyProtection="1">
      <alignment horizontal="center"/>
      <protection hidden="1"/>
    </xf>
    <xf numFmtId="0" fontId="22" fillId="3" borderId="0" xfId="8" applyFont="1" applyFill="1" applyAlignment="1" applyProtection="1">
      <alignment horizontal="center" vertical="top"/>
      <protection hidden="1"/>
    </xf>
    <xf numFmtId="0" fontId="22" fillId="3" borderId="0" xfId="8" applyFont="1" applyFill="1" applyAlignment="1" applyProtection="1">
      <alignment vertical="top"/>
      <protection hidden="1"/>
    </xf>
    <xf numFmtId="10" fontId="27" fillId="3" borderId="0" xfId="4" applyNumberFormat="1" applyFont="1" applyFill="1" applyBorder="1" applyAlignment="1" applyProtection="1">
      <alignment horizontal="right"/>
      <protection hidden="1"/>
    </xf>
    <xf numFmtId="0" fontId="19" fillId="3" borderId="0" xfId="8" applyFont="1" applyFill="1" applyProtection="1">
      <protection hidden="1"/>
    </xf>
    <xf numFmtId="0" fontId="28" fillId="3" borderId="0" xfId="0" applyFont="1" applyFill="1" applyAlignment="1" applyProtection="1">
      <alignment horizontal="center" vertical="center" wrapText="1"/>
      <protection hidden="1"/>
    </xf>
    <xf numFmtId="0" fontId="28" fillId="3" borderId="5" xfId="0" applyFont="1" applyFill="1" applyBorder="1" applyAlignment="1" applyProtection="1">
      <alignment horizontal="center" vertical="center" wrapText="1"/>
      <protection hidden="1"/>
    </xf>
    <xf numFmtId="0" fontId="20" fillId="3" borderId="5" xfId="0" applyFont="1" applyFill="1" applyBorder="1" applyProtection="1">
      <protection hidden="1"/>
    </xf>
    <xf numFmtId="0" fontId="4" fillId="3" borderId="0" xfId="2" applyFont="1" applyFill="1" applyAlignment="1" applyProtection="1">
      <alignment horizontal="center"/>
      <protection hidden="1"/>
    </xf>
    <xf numFmtId="0" fontId="33" fillId="3" borderId="0" xfId="2" applyFont="1" applyFill="1" applyProtection="1">
      <protection hidden="1"/>
    </xf>
    <xf numFmtId="0" fontId="20" fillId="3" borderId="0" xfId="0" applyFont="1" applyFill="1" applyAlignment="1" applyProtection="1">
      <alignment horizontal="center" vertical="center"/>
      <protection hidden="1"/>
    </xf>
    <xf numFmtId="0" fontId="4" fillId="3" borderId="0" xfId="1" applyFill="1" applyAlignment="1" applyProtection="1">
      <alignment horizontal="center" vertical="center" wrapText="1"/>
      <protection hidden="1"/>
    </xf>
    <xf numFmtId="0" fontId="4" fillId="3" borderId="17" xfId="1" applyFill="1" applyBorder="1" applyAlignment="1" applyProtection="1">
      <alignment horizontal="center" vertical="center" wrapText="1"/>
      <protection hidden="1"/>
    </xf>
    <xf numFmtId="0" fontId="41" fillId="3" borderId="0" xfId="0" applyFont="1" applyFill="1" applyAlignment="1" applyProtection="1">
      <alignment horizontal="center" vertical="center"/>
      <protection hidden="1"/>
    </xf>
    <xf numFmtId="0" fontId="20" fillId="3" borderId="1" xfId="0" applyFont="1" applyFill="1" applyBorder="1" applyProtection="1">
      <protection hidden="1"/>
    </xf>
    <xf numFmtId="0" fontId="4" fillId="3" borderId="1" xfId="2" applyFont="1" applyFill="1" applyBorder="1" applyAlignment="1" applyProtection="1">
      <alignment horizontal="center" vertical="center"/>
      <protection hidden="1"/>
    </xf>
    <xf numFmtId="0" fontId="4" fillId="3" borderId="18" xfId="2" applyFont="1" applyFill="1" applyBorder="1" applyAlignment="1" applyProtection="1">
      <alignment horizontal="center" vertical="center"/>
      <protection hidden="1"/>
    </xf>
    <xf numFmtId="0" fontId="4" fillId="3" borderId="0" xfId="2" applyFont="1" applyFill="1" applyAlignment="1" applyProtection="1">
      <alignment horizontal="center" vertical="center"/>
      <protection hidden="1"/>
    </xf>
    <xf numFmtId="0" fontId="20" fillId="3" borderId="18" xfId="0" applyFont="1" applyFill="1" applyBorder="1" applyProtection="1">
      <protection hidden="1"/>
    </xf>
    <xf numFmtId="0" fontId="20" fillId="3" borderId="19" xfId="0" applyFont="1" applyFill="1" applyBorder="1" applyProtection="1">
      <protection hidden="1"/>
    </xf>
    <xf numFmtId="0" fontId="4" fillId="3" borderId="19" xfId="2" applyFont="1" applyFill="1" applyBorder="1" applyAlignment="1" applyProtection="1">
      <alignment horizontal="center"/>
      <protection hidden="1"/>
    </xf>
    <xf numFmtId="0" fontId="4" fillId="3" borderId="21" xfId="2" applyFont="1" applyFill="1" applyBorder="1" applyAlignment="1" applyProtection="1">
      <alignment horizontal="center"/>
      <protection hidden="1"/>
    </xf>
    <xf numFmtId="0" fontId="20" fillId="3" borderId="0" xfId="3" applyFont="1" applyFill="1" applyProtection="1">
      <protection hidden="1"/>
    </xf>
    <xf numFmtId="0" fontId="20" fillId="3" borderId="23" xfId="0" applyFont="1" applyFill="1" applyBorder="1" applyProtection="1">
      <protection hidden="1"/>
    </xf>
    <xf numFmtId="0" fontId="4" fillId="3" borderId="23" xfId="2" applyFont="1" applyFill="1" applyBorder="1" applyAlignment="1" applyProtection="1">
      <alignment horizontal="center"/>
      <protection hidden="1"/>
    </xf>
    <xf numFmtId="0" fontId="4" fillId="3" borderId="24" xfId="2" applyFont="1" applyFill="1" applyBorder="1" applyAlignment="1" applyProtection="1">
      <alignment horizontal="center"/>
      <protection hidden="1"/>
    </xf>
    <xf numFmtId="0" fontId="4" fillId="3" borderId="1" xfId="2" applyFont="1" applyFill="1" applyBorder="1" applyAlignment="1" applyProtection="1">
      <alignment horizontal="center"/>
      <protection hidden="1"/>
    </xf>
    <xf numFmtId="0" fontId="4" fillId="3" borderId="18" xfId="2" applyFont="1" applyFill="1" applyBorder="1" applyAlignment="1" applyProtection="1">
      <alignment horizontal="center"/>
      <protection hidden="1"/>
    </xf>
    <xf numFmtId="0" fontId="20" fillId="3" borderId="0" xfId="0" quotePrefix="1" applyFont="1" applyFill="1" applyAlignment="1" applyProtection="1">
      <alignment horizontal="right"/>
      <protection hidden="1"/>
    </xf>
    <xf numFmtId="0" fontId="20" fillId="3" borderId="0" xfId="0" quotePrefix="1" applyFont="1" applyFill="1" applyProtection="1">
      <protection hidden="1"/>
    </xf>
    <xf numFmtId="0" fontId="20" fillId="3" borderId="10" xfId="0" applyFont="1" applyFill="1" applyBorder="1" applyProtection="1">
      <protection hidden="1"/>
    </xf>
    <xf numFmtId="0" fontId="4" fillId="3" borderId="10" xfId="2" applyFont="1" applyFill="1" applyBorder="1" applyAlignment="1" applyProtection="1">
      <alignment horizontal="center"/>
      <protection hidden="1"/>
    </xf>
    <xf numFmtId="0" fontId="4" fillId="3" borderId="20" xfId="2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left" vertical="center" wrapText="1" indent="3"/>
      <protection hidden="1"/>
    </xf>
    <xf numFmtId="0" fontId="27" fillId="3" borderId="1" xfId="0" applyFont="1" applyFill="1" applyBorder="1" applyProtection="1">
      <protection hidden="1"/>
    </xf>
    <xf numFmtId="0" fontId="20" fillId="3" borderId="2" xfId="0" applyFont="1" applyFill="1" applyBorder="1" applyProtection="1">
      <protection hidden="1"/>
    </xf>
    <xf numFmtId="0" fontId="27" fillId="3" borderId="3" xfId="0" applyFont="1" applyFill="1" applyBorder="1" applyProtection="1">
      <protection hidden="1"/>
    </xf>
    <xf numFmtId="2" fontId="27" fillId="3" borderId="1" xfId="0" applyNumberFormat="1" applyFont="1" applyFill="1" applyBorder="1" applyAlignment="1" applyProtection="1">
      <alignment horizontal="right"/>
      <protection hidden="1"/>
    </xf>
    <xf numFmtId="164" fontId="27" fillId="3" borderId="1" xfId="0" applyNumberFormat="1" applyFont="1" applyFill="1" applyBorder="1" applyAlignment="1" applyProtection="1">
      <alignment horizontal="right"/>
      <protection hidden="1"/>
    </xf>
    <xf numFmtId="0" fontId="20" fillId="3" borderId="24" xfId="0" applyFont="1" applyFill="1" applyBorder="1" applyProtection="1">
      <protection hidden="1"/>
    </xf>
    <xf numFmtId="0" fontId="20" fillId="3" borderId="3" xfId="0" applyFont="1" applyFill="1" applyBorder="1" applyProtection="1">
      <protection hidden="1"/>
    </xf>
    <xf numFmtId="0" fontId="20" fillId="3" borderId="9" xfId="0" applyFont="1" applyFill="1" applyBorder="1" applyProtection="1">
      <protection hidden="1"/>
    </xf>
    <xf numFmtId="0" fontId="20" fillId="3" borderId="6" xfId="0" applyFont="1" applyFill="1" applyBorder="1" applyProtection="1">
      <protection hidden="1"/>
    </xf>
    <xf numFmtId="0" fontId="20" fillId="3" borderId="11" xfId="0" applyFont="1" applyFill="1" applyBorder="1" applyProtection="1">
      <protection hidden="1"/>
    </xf>
    <xf numFmtId="0" fontId="20" fillId="3" borderId="13" xfId="0" applyFont="1" applyFill="1" applyBorder="1" applyProtection="1">
      <protection hidden="1"/>
    </xf>
    <xf numFmtId="0" fontId="20" fillId="3" borderId="12" xfId="0" applyFont="1" applyFill="1" applyBorder="1" applyProtection="1">
      <protection hidden="1"/>
    </xf>
    <xf numFmtId="0" fontId="33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33" fillId="3" borderId="1" xfId="5" applyFont="1" applyFill="1" applyBorder="1" applyAlignment="1" applyProtection="1">
      <alignment horizontal="center"/>
      <protection hidden="1"/>
    </xf>
    <xf numFmtId="0" fontId="33" fillId="3" borderId="1" xfId="5" applyFont="1" applyFill="1" applyBorder="1" applyProtection="1">
      <protection hidden="1"/>
    </xf>
    <xf numFmtId="0" fontId="4" fillId="3" borderId="0" xfId="0" applyFont="1" applyFill="1" applyAlignment="1" applyProtection="1">
      <alignment horizontal="center"/>
      <protection hidden="1"/>
    </xf>
    <xf numFmtId="0" fontId="32" fillId="3" borderId="9" xfId="0" applyFont="1" applyFill="1" applyBorder="1" applyProtection="1">
      <protection hidden="1"/>
    </xf>
    <xf numFmtId="0" fontId="27" fillId="3" borderId="9" xfId="0" applyFont="1" applyFill="1" applyBorder="1" applyProtection="1">
      <protection hidden="1"/>
    </xf>
    <xf numFmtId="0" fontId="4" fillId="3" borderId="16" xfId="5" applyFont="1" applyFill="1" applyBorder="1" applyProtection="1">
      <protection hidden="1"/>
    </xf>
    <xf numFmtId="0" fontId="27" fillId="3" borderId="0" xfId="0" applyFont="1" applyFill="1" applyAlignment="1" applyProtection="1">
      <alignment horizontal="left"/>
      <protection hidden="1"/>
    </xf>
    <xf numFmtId="0" fontId="27" fillId="3" borderId="0" xfId="0" applyFont="1" applyFill="1" applyAlignment="1" applyProtection="1">
      <alignment horizontal="right"/>
      <protection hidden="1"/>
    </xf>
    <xf numFmtId="0" fontId="27" fillId="3" borderId="0" xfId="0" applyFont="1" applyFill="1" applyAlignment="1" applyProtection="1">
      <alignment horizontal="left" indent="23"/>
      <protection hidden="1"/>
    </xf>
    <xf numFmtId="165" fontId="27" fillId="3" borderId="0" xfId="0" applyNumberFormat="1" applyFont="1" applyFill="1" applyAlignment="1" applyProtection="1">
      <alignment horizontal="right"/>
      <protection hidden="1"/>
    </xf>
    <xf numFmtId="0" fontId="27" fillId="3" borderId="15" xfId="0" applyFont="1" applyFill="1" applyBorder="1" applyProtection="1">
      <protection hidden="1"/>
    </xf>
    <xf numFmtId="0" fontId="27" fillId="3" borderId="0" xfId="5" applyFont="1" applyFill="1" applyAlignment="1" applyProtection="1">
      <alignment horizontal="left" vertical="top"/>
      <protection hidden="1"/>
    </xf>
    <xf numFmtId="0" fontId="4" fillId="3" borderId="0" xfId="5" applyFont="1" applyFill="1" applyAlignment="1" applyProtection="1">
      <alignment horizontal="center" vertical="top"/>
      <protection hidden="1"/>
    </xf>
    <xf numFmtId="0" fontId="18" fillId="3" borderId="0" xfId="0" applyFont="1" applyFill="1" applyProtection="1">
      <protection hidden="1"/>
    </xf>
    <xf numFmtId="0" fontId="4" fillId="3" borderId="0" xfId="5" applyFont="1" applyFill="1" applyAlignment="1" applyProtection="1">
      <alignment vertical="center" wrapText="1"/>
      <protection hidden="1"/>
    </xf>
    <xf numFmtId="0" fontId="4" fillId="3" borderId="0" xfId="5" applyFont="1" applyFill="1" applyAlignment="1" applyProtection="1">
      <alignment vertical="center"/>
      <protection hidden="1"/>
    </xf>
    <xf numFmtId="0" fontId="4" fillId="3" borderId="1" xfId="5" applyFont="1" applyFill="1" applyBorder="1" applyAlignment="1" applyProtection="1">
      <alignment horizontal="center" vertical="center" wrapText="1"/>
      <protection hidden="1"/>
    </xf>
    <xf numFmtId="0" fontId="4" fillId="3" borderId="0" xfId="5" applyFont="1" applyFill="1" applyAlignment="1" applyProtection="1">
      <alignment vertical="top"/>
      <protection hidden="1"/>
    </xf>
    <xf numFmtId="0" fontId="4" fillId="3" borderId="10" xfId="5" applyFont="1" applyFill="1" applyBorder="1" applyAlignment="1" applyProtection="1">
      <alignment horizontal="center" vertical="center"/>
      <protection hidden="1"/>
    </xf>
    <xf numFmtId="0" fontId="4" fillId="3" borderId="0" xfId="5" applyFont="1" applyFill="1" applyAlignment="1" applyProtection="1">
      <alignment horizontal="center" vertical="center" wrapText="1"/>
      <protection hidden="1"/>
    </xf>
    <xf numFmtId="0" fontId="18" fillId="3" borderId="1" xfId="0" applyFont="1" applyFill="1" applyBorder="1" applyAlignment="1" applyProtection="1">
      <alignment horizontal="center" vertical="center"/>
      <protection hidden="1"/>
    </xf>
    <xf numFmtId="0" fontId="18" fillId="3" borderId="0" xfId="0" applyFont="1" applyFill="1" applyAlignment="1" applyProtection="1">
      <alignment vertical="center"/>
      <protection hidden="1"/>
    </xf>
    <xf numFmtId="0" fontId="4" fillId="3" borderId="0" xfId="5" applyFont="1" applyFill="1" applyAlignment="1" applyProtection="1">
      <alignment vertical="top" wrapText="1"/>
      <protection hidden="1"/>
    </xf>
    <xf numFmtId="0" fontId="4" fillId="3" borderId="16" xfId="5" applyFont="1" applyFill="1" applyBorder="1" applyAlignment="1" applyProtection="1">
      <alignment horizontal="center" vertical="top"/>
      <protection hidden="1"/>
    </xf>
    <xf numFmtId="0" fontId="4" fillId="3" borderId="7" xfId="5" applyFont="1" applyFill="1" applyBorder="1" applyAlignment="1" applyProtection="1">
      <alignment vertical="center" wrapText="1"/>
      <protection hidden="1"/>
    </xf>
    <xf numFmtId="0" fontId="4" fillId="3" borderId="14" xfId="5" applyFont="1" applyFill="1" applyBorder="1" applyAlignment="1" applyProtection="1">
      <alignment vertical="center" wrapText="1"/>
      <protection hidden="1"/>
    </xf>
    <xf numFmtId="0" fontId="4" fillId="3" borderId="8" xfId="5" applyFont="1" applyFill="1" applyBorder="1" applyAlignment="1" applyProtection="1">
      <alignment vertical="center" wrapText="1"/>
      <protection hidden="1"/>
    </xf>
    <xf numFmtId="2" fontId="4" fillId="3" borderId="13" xfId="5" applyNumberFormat="1" applyFont="1" applyFill="1" applyBorder="1" applyAlignment="1" applyProtection="1">
      <alignment vertical="center" wrapText="1"/>
      <protection locked="0" hidden="1"/>
    </xf>
    <xf numFmtId="0" fontId="4" fillId="3" borderId="1" xfId="5" applyFont="1" applyFill="1" applyBorder="1" applyAlignment="1" applyProtection="1">
      <alignment vertical="center" wrapText="1"/>
      <protection locked="0" hidden="1"/>
    </xf>
    <xf numFmtId="0" fontId="4" fillId="3" borderId="1" xfId="5" applyFont="1" applyFill="1" applyBorder="1" applyAlignment="1" applyProtection="1">
      <alignment vertical="center"/>
      <protection locked="0" hidden="1"/>
    </xf>
    <xf numFmtId="0" fontId="4" fillId="3" borderId="5" xfId="5" applyFont="1" applyFill="1" applyBorder="1" applyAlignment="1" applyProtection="1">
      <alignment horizontal="center" vertical="top"/>
      <protection hidden="1"/>
    </xf>
    <xf numFmtId="0" fontId="4" fillId="3" borderId="9" xfId="5" applyFont="1" applyFill="1" applyBorder="1" applyAlignment="1" applyProtection="1">
      <alignment vertical="center" wrapText="1"/>
      <protection hidden="1"/>
    </xf>
    <xf numFmtId="0" fontId="4" fillId="3" borderId="6" xfId="5" applyFont="1" applyFill="1" applyBorder="1" applyAlignment="1" applyProtection="1">
      <alignment vertical="center" wrapText="1"/>
      <protection hidden="1"/>
    </xf>
    <xf numFmtId="0" fontId="4" fillId="3" borderId="10" xfId="5" applyFont="1" applyFill="1" applyBorder="1" applyAlignment="1" applyProtection="1">
      <alignment horizontal="center" vertical="top"/>
      <protection hidden="1"/>
    </xf>
    <xf numFmtId="0" fontId="4" fillId="3" borderId="11" xfId="5" applyFont="1" applyFill="1" applyBorder="1" applyAlignment="1" applyProtection="1">
      <alignment horizontal="left" vertical="top"/>
      <protection hidden="1"/>
    </xf>
    <xf numFmtId="4" fontId="4" fillId="3" borderId="13" xfId="5" applyNumberFormat="1" applyFont="1" applyFill="1" applyBorder="1" applyAlignment="1" applyProtection="1">
      <alignment horizontal="right" vertical="center" wrapText="1"/>
      <protection hidden="1"/>
    </xf>
    <xf numFmtId="4" fontId="4" fillId="3" borderId="12" xfId="5" applyNumberFormat="1" applyFont="1" applyFill="1" applyBorder="1" applyAlignment="1" applyProtection="1">
      <alignment horizontal="right" vertical="center" wrapText="1"/>
      <protection hidden="1"/>
    </xf>
    <xf numFmtId="2" fontId="4" fillId="3" borderId="4" xfId="5" applyNumberFormat="1" applyFont="1" applyFill="1" applyBorder="1" applyAlignment="1" applyProtection="1">
      <alignment vertical="center" wrapText="1"/>
      <protection locked="0" hidden="1"/>
    </xf>
    <xf numFmtId="2" fontId="4" fillId="3" borderId="1" xfId="5" applyNumberFormat="1" applyFont="1" applyFill="1" applyBorder="1" applyAlignment="1" applyProtection="1">
      <alignment vertical="center" wrapText="1"/>
      <protection locked="0" hidden="1"/>
    </xf>
    <xf numFmtId="1" fontId="4" fillId="3" borderId="4" xfId="5" applyNumberFormat="1" applyFont="1" applyFill="1" applyBorder="1" applyAlignment="1" applyProtection="1">
      <alignment vertical="center" wrapText="1"/>
      <protection locked="0" hidden="1"/>
    </xf>
    <xf numFmtId="0" fontId="4" fillId="3" borderId="11" xfId="5" applyFont="1" applyFill="1" applyBorder="1" applyAlignment="1" applyProtection="1">
      <alignment wrapText="1"/>
      <protection hidden="1"/>
    </xf>
    <xf numFmtId="3" fontId="4" fillId="3" borderId="12" xfId="5" applyNumberFormat="1" applyFont="1" applyFill="1" applyBorder="1" applyAlignment="1" applyProtection="1">
      <alignment horizontal="right" vertical="center" wrapText="1"/>
      <protection hidden="1"/>
    </xf>
    <xf numFmtId="0" fontId="4" fillId="3" borderId="1" xfId="5" applyFont="1" applyFill="1" applyBorder="1" applyAlignment="1" applyProtection="1">
      <alignment horizontal="center" vertical="top"/>
      <protection hidden="1"/>
    </xf>
    <xf numFmtId="1" fontId="18" fillId="3" borderId="1" xfId="0" applyNumberFormat="1" applyFont="1" applyFill="1" applyBorder="1" applyAlignment="1" applyProtection="1">
      <alignment vertical="center"/>
      <protection locked="0" hidden="1"/>
    </xf>
    <xf numFmtId="0" fontId="34" fillId="3" borderId="1" xfId="5" applyFont="1" applyFill="1" applyBorder="1" applyAlignment="1" applyProtection="1">
      <alignment horizontal="center" wrapText="1"/>
      <protection hidden="1"/>
    </xf>
    <xf numFmtId="0" fontId="4" fillId="3" borderId="1" xfId="5" applyFont="1" applyFill="1" applyBorder="1" applyAlignment="1" applyProtection="1">
      <alignment horizontal="center" wrapText="1"/>
      <protection hidden="1"/>
    </xf>
    <xf numFmtId="0" fontId="27" fillId="3" borderId="0" xfId="5" applyFont="1" applyFill="1" applyAlignment="1" applyProtection="1">
      <alignment horizontal="left" vertical="center"/>
      <protection hidden="1"/>
    </xf>
    <xf numFmtId="0" fontId="34" fillId="3" borderId="10" xfId="5" applyFont="1" applyFill="1" applyBorder="1" applyAlignment="1" applyProtection="1">
      <alignment horizontal="center" vertical="center"/>
      <protection hidden="1"/>
    </xf>
    <xf numFmtId="0" fontId="34" fillId="3" borderId="0" xfId="5" applyFont="1" applyFill="1" applyAlignment="1" applyProtection="1">
      <alignment horizontal="left" vertical="top"/>
      <protection hidden="1"/>
    </xf>
    <xf numFmtId="0" fontId="4" fillId="3" borderId="9" xfId="5" applyFont="1" applyFill="1" applyBorder="1" applyAlignment="1" applyProtection="1">
      <alignment horizontal="left" vertical="top" wrapText="1"/>
      <protection hidden="1"/>
    </xf>
    <xf numFmtId="0" fontId="4" fillId="3" borderId="0" xfId="5" applyFont="1" applyFill="1" applyAlignment="1" applyProtection="1">
      <alignment horizontal="left" vertical="top" wrapText="1"/>
      <protection hidden="1"/>
    </xf>
    <xf numFmtId="0" fontId="4" fillId="3" borderId="6" xfId="5" applyFont="1" applyFill="1" applyBorder="1" applyAlignment="1" applyProtection="1">
      <alignment horizontal="left" vertical="top" wrapText="1"/>
      <protection hidden="1"/>
    </xf>
    <xf numFmtId="2" fontId="4" fillId="3" borderId="12" xfId="5" applyNumberFormat="1" applyFont="1" applyFill="1" applyBorder="1" applyAlignment="1" applyProtection="1">
      <alignment vertical="center" wrapText="1"/>
      <protection hidden="1"/>
    </xf>
    <xf numFmtId="2" fontId="4" fillId="3" borderId="13" xfId="5" applyNumberFormat="1" applyFont="1" applyFill="1" applyBorder="1" applyAlignment="1" applyProtection="1">
      <alignment horizontal="right" vertical="center" wrapText="1"/>
      <protection hidden="1"/>
    </xf>
    <xf numFmtId="0" fontId="18" fillId="3" borderId="0" xfId="8" applyFont="1" applyFill="1" applyProtection="1">
      <protection hidden="1"/>
    </xf>
    <xf numFmtId="0" fontId="4" fillId="3" borderId="2" xfId="5" applyFont="1" applyFill="1" applyBorder="1" applyProtection="1">
      <protection hidden="1"/>
    </xf>
    <xf numFmtId="0" fontId="4" fillId="3" borderId="4" xfId="5" applyFont="1" applyFill="1" applyBorder="1" applyProtection="1">
      <protection hidden="1"/>
    </xf>
    <xf numFmtId="0" fontId="4" fillId="3" borderId="3" xfId="5" applyFont="1" applyFill="1" applyBorder="1" applyProtection="1">
      <protection hidden="1"/>
    </xf>
    <xf numFmtId="0" fontId="18" fillId="3" borderId="4" xfId="0" applyFont="1" applyFill="1" applyBorder="1" applyAlignment="1" applyProtection="1">
      <alignment vertical="center"/>
      <protection hidden="1"/>
    </xf>
    <xf numFmtId="0" fontId="20" fillId="3" borderId="4" xfId="0" applyFont="1" applyFill="1" applyBorder="1" applyProtection="1">
      <protection hidden="1"/>
    </xf>
    <xf numFmtId="0" fontId="4" fillId="3" borderId="7" xfId="5" applyFont="1" applyFill="1" applyBorder="1" applyProtection="1">
      <protection hidden="1"/>
    </xf>
    <xf numFmtId="0" fontId="4" fillId="3" borderId="14" xfId="5" applyFont="1" applyFill="1" applyBorder="1" applyProtection="1">
      <protection hidden="1"/>
    </xf>
    <xf numFmtId="0" fontId="4" fillId="3" borderId="8" xfId="5" applyFont="1" applyFill="1" applyBorder="1" applyProtection="1">
      <protection hidden="1"/>
    </xf>
    <xf numFmtId="0" fontId="34" fillId="3" borderId="0" xfId="5" applyFont="1" applyFill="1" applyProtection="1">
      <protection hidden="1"/>
    </xf>
    <xf numFmtId="0" fontId="45" fillId="3" borderId="0" xfId="5" applyFont="1" applyFill="1" applyProtection="1">
      <protection hidden="1"/>
    </xf>
    <xf numFmtId="4" fontId="4" fillId="3" borderId="0" xfId="5" applyNumberFormat="1" applyFont="1" applyFill="1" applyAlignment="1" applyProtection="1">
      <alignment vertical="center"/>
      <protection hidden="1"/>
    </xf>
    <xf numFmtId="0" fontId="4" fillId="3" borderId="0" xfId="5" applyFont="1" applyFill="1" applyAlignment="1" applyProtection="1">
      <alignment horizontal="left"/>
      <protection hidden="1"/>
    </xf>
    <xf numFmtId="168" fontId="19" fillId="3" borderId="0" xfId="8" applyNumberFormat="1" applyFont="1" applyFill="1" applyProtection="1">
      <protection hidden="1"/>
    </xf>
    <xf numFmtId="2" fontId="8" fillId="0" borderId="0" xfId="0" applyNumberFormat="1" applyFont="1" applyProtection="1">
      <protection hidden="1"/>
    </xf>
    <xf numFmtId="2" fontId="5" fillId="0" borderId="1" xfId="5" applyNumberFormat="1" applyBorder="1" applyAlignment="1" applyProtection="1">
      <alignment horizontal="center"/>
      <protection hidden="1"/>
    </xf>
    <xf numFmtId="2" fontId="18" fillId="0" borderId="1" xfId="0" applyNumberFormat="1" applyFont="1" applyBorder="1" applyAlignment="1" applyProtection="1">
      <alignment horizontal="center"/>
      <protection hidden="1"/>
    </xf>
    <xf numFmtId="2" fontId="5" fillId="2" borderId="1" xfId="5" applyNumberFormat="1" applyFill="1" applyBorder="1" applyAlignment="1" applyProtection="1">
      <alignment horizontal="center"/>
      <protection hidden="1"/>
    </xf>
    <xf numFmtId="0" fontId="42" fillId="3" borderId="0" xfId="5" applyFont="1" applyFill="1" applyAlignment="1" applyProtection="1">
      <alignment wrapText="1"/>
      <protection hidden="1"/>
    </xf>
    <xf numFmtId="0" fontId="20" fillId="3" borderId="0" xfId="9" quotePrefix="1" applyFont="1" applyFill="1" applyAlignment="1" applyProtection="1">
      <alignment horizontal="left" vertical="center"/>
      <protection hidden="1"/>
    </xf>
    <xf numFmtId="0" fontId="20" fillId="3" borderId="0" xfId="9" applyFont="1" applyFill="1" applyAlignment="1" applyProtection="1">
      <alignment horizontal="center" vertical="center"/>
      <protection hidden="1"/>
    </xf>
    <xf numFmtId="2" fontId="20" fillId="3" borderId="0" xfId="9" applyNumberFormat="1" applyFont="1" applyFill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vertical="top"/>
      <protection hidden="1"/>
    </xf>
    <xf numFmtId="0" fontId="46" fillId="0" borderId="0" xfId="0" applyFont="1" applyAlignment="1" applyProtection="1">
      <alignment horizontal="left"/>
      <protection hidden="1"/>
    </xf>
    <xf numFmtId="0" fontId="19" fillId="3" borderId="0" xfId="9" applyFont="1" applyFill="1" applyAlignment="1" applyProtection="1">
      <alignment vertical="center"/>
      <protection hidden="1"/>
    </xf>
    <xf numFmtId="0" fontId="12" fillId="0" borderId="0" xfId="0" applyFont="1" applyAlignment="1" applyProtection="1">
      <alignment horizontal="left" vertical="top" wrapText="1"/>
      <protection hidden="1"/>
    </xf>
    <xf numFmtId="0" fontId="7" fillId="4" borderId="0" xfId="0" applyFont="1" applyFill="1" applyAlignment="1" applyProtection="1">
      <alignment horizontal="center" vertical="center" wrapText="1"/>
      <protection hidden="1"/>
    </xf>
    <xf numFmtId="0" fontId="27" fillId="3" borderId="1" xfId="0" applyFont="1" applyFill="1" applyBorder="1" applyProtection="1">
      <protection hidden="1"/>
    </xf>
    <xf numFmtId="0" fontId="20" fillId="3" borderId="1" xfId="0" applyFont="1" applyFill="1" applyBorder="1" applyProtection="1">
      <protection hidden="1"/>
    </xf>
    <xf numFmtId="0" fontId="20" fillId="3" borderId="2" xfId="0" applyFont="1" applyFill="1" applyBorder="1" applyAlignment="1" applyProtection="1">
      <alignment horizontal="right" vertical="center"/>
      <protection hidden="1"/>
    </xf>
    <xf numFmtId="0" fontId="20" fillId="3" borderId="4" xfId="0" applyFont="1" applyFill="1" applyBorder="1" applyAlignment="1" applyProtection="1">
      <alignment horizontal="right" vertical="center"/>
      <protection hidden="1"/>
    </xf>
    <xf numFmtId="0" fontId="20" fillId="3" borderId="3" xfId="0" applyFont="1" applyFill="1" applyBorder="1" applyAlignment="1" applyProtection="1">
      <alignment horizontal="right" vertical="center"/>
      <protection hidden="1"/>
    </xf>
    <xf numFmtId="0" fontId="27" fillId="3" borderId="0" xfId="0" applyFont="1" applyFill="1" applyAlignment="1" applyProtection="1">
      <alignment wrapText="1"/>
      <protection hidden="1"/>
    </xf>
    <xf numFmtId="0" fontId="4" fillId="3" borderId="2" xfId="5" applyFont="1" applyFill="1" applyBorder="1" applyAlignment="1" applyProtection="1">
      <alignment horizontal="left"/>
      <protection hidden="1"/>
    </xf>
    <xf numFmtId="0" fontId="4" fillId="3" borderId="3" xfId="5" applyFont="1" applyFill="1" applyBorder="1" applyAlignment="1" applyProtection="1">
      <alignment horizontal="left"/>
      <protection hidden="1"/>
    </xf>
    <xf numFmtId="0" fontId="18" fillId="3" borderId="2" xfId="0" applyFont="1" applyFill="1" applyBorder="1" applyAlignment="1" applyProtection="1">
      <alignment horizontal="left"/>
      <protection hidden="1"/>
    </xf>
    <xf numFmtId="0" fontId="18" fillId="3" borderId="3" xfId="0" applyFont="1" applyFill="1" applyBorder="1" applyAlignment="1" applyProtection="1">
      <alignment horizontal="left"/>
      <protection hidden="1"/>
    </xf>
    <xf numFmtId="0" fontId="20" fillId="3" borderId="1" xfId="0" applyFont="1" applyFill="1" applyBorder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horizontal="left"/>
      <protection hidden="1"/>
    </xf>
    <xf numFmtId="0" fontId="20" fillId="3" borderId="22" xfId="0" applyFont="1" applyFill="1" applyBorder="1" applyAlignment="1" applyProtection="1">
      <alignment horizontal="center" vertical="center" textRotation="90"/>
      <protection hidden="1"/>
    </xf>
    <xf numFmtId="0" fontId="20" fillId="3" borderId="9" xfId="0" applyFont="1" applyFill="1" applyBorder="1" applyAlignment="1" applyProtection="1">
      <alignment horizontal="center" vertical="center" textRotation="90"/>
      <protection hidden="1"/>
    </xf>
    <xf numFmtId="0" fontId="20" fillId="3" borderId="25" xfId="0" applyFont="1" applyFill="1" applyBorder="1" applyAlignment="1" applyProtection="1">
      <alignment horizontal="center" vertical="center" textRotation="90"/>
      <protection hidden="1"/>
    </xf>
    <xf numFmtId="0" fontId="27" fillId="3" borderId="2" xfId="0" applyFont="1" applyFill="1" applyBorder="1" applyProtection="1">
      <protection hidden="1"/>
    </xf>
    <xf numFmtId="0" fontId="20" fillId="3" borderId="3" xfId="0" applyFont="1" applyFill="1" applyBorder="1" applyProtection="1">
      <protection hidden="1"/>
    </xf>
    <xf numFmtId="0" fontId="27" fillId="3" borderId="4" xfId="0" applyFont="1" applyFill="1" applyBorder="1" applyProtection="1">
      <protection hidden="1"/>
    </xf>
    <xf numFmtId="0" fontId="19" fillId="3" borderId="7" xfId="0" applyFont="1" applyFill="1" applyBorder="1" applyAlignment="1" applyProtection="1">
      <alignment horizontal="center" wrapText="1"/>
      <protection hidden="1"/>
    </xf>
    <xf numFmtId="0" fontId="19" fillId="3" borderId="14" xfId="0" applyFont="1" applyFill="1" applyBorder="1" applyAlignment="1" applyProtection="1">
      <alignment horizontal="center" wrapText="1"/>
      <protection hidden="1"/>
    </xf>
    <xf numFmtId="0" fontId="19" fillId="3" borderId="8" xfId="0" applyFont="1" applyFill="1" applyBorder="1" applyAlignment="1" applyProtection="1">
      <alignment horizontal="center" wrapText="1"/>
      <protection hidden="1"/>
    </xf>
    <xf numFmtId="0" fontId="20" fillId="3" borderId="27" xfId="0" applyFont="1" applyFill="1" applyBorder="1" applyAlignment="1" applyProtection="1">
      <alignment horizontal="center" vertical="center" textRotation="90"/>
      <protection hidden="1"/>
    </xf>
    <xf numFmtId="0" fontId="20" fillId="3" borderId="5" xfId="0" applyFont="1" applyFill="1" applyBorder="1" applyAlignment="1" applyProtection="1">
      <alignment horizontal="center" vertical="center" textRotation="90"/>
      <protection hidden="1"/>
    </xf>
    <xf numFmtId="0" fontId="20" fillId="3" borderId="26" xfId="0" applyFont="1" applyFill="1" applyBorder="1" applyAlignment="1" applyProtection="1">
      <alignment horizontal="center" vertical="center" textRotation="90"/>
      <protection hidden="1"/>
    </xf>
    <xf numFmtId="0" fontId="20" fillId="3" borderId="11" xfId="0" applyFont="1" applyFill="1" applyBorder="1" applyAlignment="1" applyProtection="1">
      <alignment horizontal="center" vertical="center" textRotation="90"/>
      <protection hidden="1"/>
    </xf>
    <xf numFmtId="0" fontId="19" fillId="3" borderId="0" xfId="0" applyFont="1" applyFill="1" applyAlignment="1" applyProtection="1">
      <alignment wrapText="1"/>
      <protection hidden="1"/>
    </xf>
    <xf numFmtId="0" fontId="20" fillId="3" borderId="7" xfId="0" applyFont="1" applyFill="1" applyBorder="1" applyAlignment="1" applyProtection="1">
      <alignment horizontal="center" vertical="center" textRotation="90"/>
      <protection hidden="1"/>
    </xf>
    <xf numFmtId="0" fontId="20" fillId="3" borderId="0" xfId="0" applyFont="1" applyFill="1" applyAlignment="1" applyProtection="1">
      <alignment wrapText="1"/>
      <protection hidden="1"/>
    </xf>
    <xf numFmtId="0" fontId="20" fillId="3" borderId="16" xfId="0" applyFont="1" applyFill="1" applyBorder="1" applyAlignment="1" applyProtection="1">
      <alignment horizontal="center" vertical="center" textRotation="90"/>
      <protection hidden="1"/>
    </xf>
    <xf numFmtId="0" fontId="20" fillId="3" borderId="0" xfId="0" applyFont="1" applyFill="1" applyProtection="1">
      <protection hidden="1"/>
    </xf>
    <xf numFmtId="0" fontId="20" fillId="3" borderId="0" xfId="0" applyFont="1" applyFill="1" applyAlignment="1" applyProtection="1">
      <alignment horizontal="left" vertical="center" wrapText="1"/>
      <protection hidden="1"/>
    </xf>
    <xf numFmtId="0" fontId="20" fillId="3" borderId="9" xfId="0" applyFont="1" applyFill="1" applyBorder="1" applyAlignment="1" applyProtection="1">
      <alignment horizontal="left" vertical="center" wrapText="1"/>
      <protection hidden="1"/>
    </xf>
    <xf numFmtId="0" fontId="20" fillId="3" borderId="6" xfId="0" applyFont="1" applyFill="1" applyBorder="1" applyAlignment="1" applyProtection="1">
      <alignment horizontal="left"/>
      <protection hidden="1"/>
    </xf>
    <xf numFmtId="0" fontId="20" fillId="3" borderId="9" xfId="0" applyFont="1" applyFill="1" applyBorder="1" applyAlignment="1" applyProtection="1">
      <alignment horizontal="left"/>
      <protection hidden="1"/>
    </xf>
    <xf numFmtId="0" fontId="41" fillId="3" borderId="0" xfId="0" applyFont="1" applyFill="1" applyAlignment="1" applyProtection="1">
      <alignment horizontal="center" vertical="center" wrapText="1"/>
      <protection hidden="1"/>
    </xf>
    <xf numFmtId="0" fontId="19" fillId="3" borderId="0" xfId="8" applyFont="1" applyFill="1" applyAlignment="1" applyProtection="1">
      <alignment horizontal="center"/>
      <protection hidden="1"/>
    </xf>
    <xf numFmtId="0" fontId="22" fillId="3" borderId="0" xfId="8" applyFont="1" applyFill="1" applyAlignment="1" applyProtection="1">
      <alignment horizontal="center" vertical="top"/>
      <protection hidden="1"/>
    </xf>
    <xf numFmtId="0" fontId="28" fillId="3" borderId="0" xfId="0" applyFont="1" applyFill="1" applyAlignment="1" applyProtection="1">
      <alignment horizontal="center" vertical="center" wrapText="1"/>
      <protection hidden="1"/>
    </xf>
    <xf numFmtId="0" fontId="4" fillId="3" borderId="1" xfId="5" applyFont="1" applyFill="1" applyBorder="1" applyAlignment="1" applyProtection="1">
      <alignment horizontal="center"/>
      <protection hidden="1"/>
    </xf>
    <xf numFmtId="0" fontId="27" fillId="3" borderId="0" xfId="5" applyFont="1" applyFill="1" applyAlignment="1" applyProtection="1">
      <alignment horizontal="center"/>
      <protection hidden="1"/>
    </xf>
    <xf numFmtId="49" fontId="31" fillId="3" borderId="0" xfId="8" applyNumberFormat="1" applyFont="1" applyFill="1" applyAlignment="1" applyProtection="1">
      <alignment horizontal="left" vertical="center" wrapText="1"/>
      <protection locked="0" hidden="1"/>
    </xf>
    <xf numFmtId="0" fontId="34" fillId="3" borderId="0" xfId="5" applyFont="1" applyFill="1" applyAlignment="1" applyProtection="1">
      <alignment horizontal="center" vertical="top"/>
      <protection hidden="1"/>
    </xf>
    <xf numFmtId="0" fontId="18" fillId="3" borderId="1" xfId="0" applyFont="1" applyFill="1" applyBorder="1" applyAlignment="1" applyProtection="1">
      <alignment horizontal="center" wrapText="1"/>
      <protection locked="0" hidden="1"/>
    </xf>
    <xf numFmtId="0" fontId="4" fillId="3" borderId="1" xfId="5" applyFont="1" applyFill="1" applyBorder="1" applyAlignment="1" applyProtection="1">
      <alignment horizontal="center"/>
      <protection locked="0" hidden="1"/>
    </xf>
    <xf numFmtId="0" fontId="4" fillId="3" borderId="1" xfId="5" applyFont="1" applyFill="1" applyBorder="1" applyAlignment="1" applyProtection="1">
      <alignment horizontal="left" wrapText="1"/>
      <protection hidden="1"/>
    </xf>
    <xf numFmtId="0" fontId="4" fillId="3" borderId="16" xfId="5" applyFont="1" applyFill="1" applyBorder="1" applyAlignment="1" applyProtection="1">
      <alignment horizontal="center"/>
      <protection locked="0" hidden="1"/>
    </xf>
    <xf numFmtId="0" fontId="4" fillId="3" borderId="0" xfId="5" applyFont="1" applyFill="1" applyAlignment="1" applyProtection="1">
      <alignment horizontal="center"/>
      <protection hidden="1"/>
    </xf>
    <xf numFmtId="0" fontId="4" fillId="3" borderId="1" xfId="5" applyFont="1" applyFill="1" applyBorder="1" applyAlignment="1" applyProtection="1">
      <alignment horizontal="left" vertical="top" wrapText="1"/>
      <protection hidden="1"/>
    </xf>
    <xf numFmtId="0" fontId="4" fillId="3" borderId="1" xfId="5" applyFont="1" applyFill="1" applyBorder="1" applyAlignment="1" applyProtection="1">
      <alignment horizontal="center" vertical="center"/>
      <protection hidden="1"/>
    </xf>
    <xf numFmtId="0" fontId="4" fillId="3" borderId="2" xfId="5" applyFont="1" applyFill="1" applyBorder="1" applyAlignment="1" applyProtection="1">
      <alignment horizontal="left" vertical="center" wrapText="1"/>
      <protection hidden="1"/>
    </xf>
    <xf numFmtId="0" fontId="4" fillId="3" borderId="3" xfId="5" applyFont="1" applyFill="1" applyBorder="1" applyAlignment="1" applyProtection="1">
      <alignment horizontal="left" vertical="center" wrapText="1"/>
      <protection hidden="1"/>
    </xf>
    <xf numFmtId="0" fontId="18" fillId="3" borderId="2" xfId="0" applyFont="1" applyFill="1" applyBorder="1" applyAlignment="1" applyProtection="1">
      <alignment horizontal="center" vertical="center"/>
      <protection locked="0" hidden="1"/>
    </xf>
    <xf numFmtId="0" fontId="18" fillId="3" borderId="3" xfId="0" applyFont="1" applyFill="1" applyBorder="1" applyAlignment="1" applyProtection="1">
      <alignment horizontal="center" vertical="center"/>
      <protection locked="0" hidden="1"/>
    </xf>
    <xf numFmtId="0" fontId="18" fillId="3" borderId="2" xfId="0" applyFont="1" applyFill="1" applyBorder="1" applyAlignment="1" applyProtection="1">
      <alignment horizontal="center" vertical="center" wrapText="1"/>
      <protection locked="0" hidden="1"/>
    </xf>
    <xf numFmtId="0" fontId="18" fillId="3" borderId="3" xfId="0" applyFont="1" applyFill="1" applyBorder="1" applyAlignment="1" applyProtection="1">
      <alignment horizontal="center" vertical="center" wrapText="1"/>
      <protection locked="0" hidden="1"/>
    </xf>
    <xf numFmtId="0" fontId="18" fillId="3" borderId="1" xfId="8" applyFont="1" applyFill="1" applyBorder="1" applyAlignment="1" applyProtection="1">
      <alignment horizontal="center"/>
      <protection hidden="1"/>
    </xf>
    <xf numFmtId="0" fontId="4" fillId="3" borderId="1" xfId="5" applyFont="1" applyFill="1" applyBorder="1" applyAlignment="1" applyProtection="1">
      <alignment horizontal="left"/>
      <protection hidden="1"/>
    </xf>
    <xf numFmtId="0" fontId="24" fillId="3" borderId="1" xfId="0" applyFont="1" applyFill="1" applyBorder="1" applyAlignment="1" applyProtection="1">
      <alignment horizontal="center" vertical="center" wrapText="1"/>
      <protection locked="0" hidden="1"/>
    </xf>
    <xf numFmtId="0" fontId="24" fillId="3" borderId="2" xfId="0" applyFont="1" applyFill="1" applyBorder="1" applyAlignment="1" applyProtection="1">
      <alignment horizontal="center" vertical="center" wrapText="1"/>
      <protection locked="0" hidden="1"/>
    </xf>
    <xf numFmtId="0" fontId="18" fillId="3" borderId="2" xfId="8" applyFont="1" applyFill="1" applyBorder="1" applyAlignment="1" applyProtection="1">
      <alignment horizontal="center"/>
      <protection hidden="1"/>
    </xf>
    <xf numFmtId="0" fontId="18" fillId="3" borderId="3" xfId="8" applyFont="1" applyFill="1" applyBorder="1" applyAlignment="1" applyProtection="1">
      <alignment horizontal="center"/>
      <protection hidden="1"/>
    </xf>
    <xf numFmtId="0" fontId="34" fillId="3" borderId="14" xfId="5" applyFont="1" applyFill="1" applyBorder="1" applyAlignment="1" applyProtection="1">
      <alignment horizontal="left" vertical="top" wrapText="1"/>
      <protection hidden="1"/>
    </xf>
    <xf numFmtId="0" fontId="42" fillId="3" borderId="14" xfId="5" applyFont="1" applyFill="1" applyBorder="1" applyAlignment="1" applyProtection="1">
      <alignment horizontal="left" vertical="top"/>
      <protection hidden="1"/>
    </xf>
    <xf numFmtId="0" fontId="22" fillId="3" borderId="0" xfId="8" applyFont="1" applyFill="1" applyAlignment="1" applyProtection="1">
      <alignment horizontal="center" vertical="top" wrapText="1"/>
      <protection hidden="1"/>
    </xf>
    <xf numFmtId="0" fontId="22" fillId="3" borderId="13" xfId="8" applyFont="1" applyFill="1" applyBorder="1" applyAlignment="1" applyProtection="1">
      <alignment horizontal="center" vertical="top" wrapText="1"/>
      <protection hidden="1"/>
    </xf>
    <xf numFmtId="0" fontId="20" fillId="3" borderId="0" xfId="8" applyFont="1" applyFill="1" applyAlignment="1" applyProtection="1">
      <alignment horizontal="center"/>
      <protection hidden="1"/>
    </xf>
    <xf numFmtId="0" fontId="4" fillId="3" borderId="2" xfId="5" applyFont="1" applyFill="1" applyBorder="1" applyAlignment="1" applyProtection="1">
      <alignment horizontal="left" vertical="top" wrapText="1"/>
      <protection hidden="1"/>
    </xf>
    <xf numFmtId="0" fontId="4" fillId="3" borderId="3" xfId="5" applyFont="1" applyFill="1" applyBorder="1" applyAlignment="1" applyProtection="1">
      <alignment horizontal="left" vertical="top" wrapText="1"/>
      <protection hidden="1"/>
    </xf>
    <xf numFmtId="4" fontId="4" fillId="3" borderId="2" xfId="5" applyNumberFormat="1" applyFont="1" applyFill="1" applyBorder="1" applyAlignment="1" applyProtection="1">
      <alignment horizontal="center" vertical="center"/>
      <protection hidden="1"/>
    </xf>
    <xf numFmtId="4" fontId="4" fillId="3" borderId="3" xfId="5" applyNumberFormat="1" applyFont="1" applyFill="1" applyBorder="1" applyAlignment="1" applyProtection="1">
      <alignment horizontal="center" vertical="center"/>
      <protection hidden="1"/>
    </xf>
    <xf numFmtId="4" fontId="4" fillId="3" borderId="1" xfId="5" applyNumberFormat="1" applyFont="1" applyFill="1" applyBorder="1" applyAlignment="1" applyProtection="1">
      <alignment horizontal="center" vertical="center"/>
      <protection hidden="1"/>
    </xf>
    <xf numFmtId="4" fontId="4" fillId="3" borderId="10" xfId="5" applyNumberFormat="1" applyFont="1" applyFill="1" applyBorder="1" applyAlignment="1" applyProtection="1">
      <alignment horizontal="center" vertical="center"/>
      <protection hidden="1"/>
    </xf>
    <xf numFmtId="0" fontId="4" fillId="3" borderId="2" xfId="5" applyFont="1" applyFill="1" applyBorder="1" applyAlignment="1" applyProtection="1">
      <alignment horizontal="left" vertical="top"/>
      <protection hidden="1"/>
    </xf>
    <xf numFmtId="0" fontId="4" fillId="3" borderId="3" xfId="5" applyFont="1" applyFill="1" applyBorder="1" applyAlignment="1" applyProtection="1">
      <alignment horizontal="left" vertical="top"/>
      <protection hidden="1"/>
    </xf>
    <xf numFmtId="2" fontId="4" fillId="3" borderId="1" xfId="5" applyNumberFormat="1" applyFont="1" applyFill="1" applyBorder="1" applyAlignment="1" applyProtection="1">
      <alignment horizontal="center"/>
      <protection hidden="1"/>
    </xf>
    <xf numFmtId="0" fontId="34" fillId="3" borderId="14" xfId="5" applyFont="1" applyFill="1" applyBorder="1" applyAlignment="1" applyProtection="1">
      <alignment horizontal="left" vertical="top"/>
      <protection hidden="1"/>
    </xf>
    <xf numFmtId="0" fontId="44" fillId="3" borderId="1" xfId="5" applyFont="1" applyFill="1" applyBorder="1" applyAlignment="1" applyProtection="1">
      <alignment horizontal="center"/>
      <protection locked="0" hidden="1"/>
    </xf>
    <xf numFmtId="0" fontId="44" fillId="3" borderId="16" xfId="5" applyFont="1" applyFill="1" applyBorder="1" applyAlignment="1" applyProtection="1">
      <alignment horizontal="center"/>
      <protection locked="0" hidden="1"/>
    </xf>
    <xf numFmtId="0" fontId="4" fillId="3" borderId="16" xfId="5" applyFont="1" applyFill="1" applyBorder="1" applyAlignment="1" applyProtection="1">
      <alignment horizontal="center" vertical="center"/>
      <protection hidden="1"/>
    </xf>
    <xf numFmtId="0" fontId="4" fillId="3" borderId="10" xfId="5" applyFont="1" applyFill="1" applyBorder="1" applyAlignment="1" applyProtection="1">
      <alignment horizontal="center" vertical="center"/>
      <protection hidden="1"/>
    </xf>
    <xf numFmtId="0" fontId="4" fillId="3" borderId="1" xfId="5" applyFont="1" applyFill="1" applyBorder="1" applyAlignment="1" applyProtection="1">
      <alignment horizontal="center" vertical="center" wrapText="1"/>
      <protection hidden="1"/>
    </xf>
    <xf numFmtId="0" fontId="4" fillId="3" borderId="4" xfId="5" applyFont="1" applyFill="1" applyBorder="1" applyAlignment="1" applyProtection="1">
      <alignment horizontal="left" vertical="center" wrapText="1"/>
      <protection hidden="1"/>
    </xf>
    <xf numFmtId="0" fontId="4" fillId="3" borderId="2" xfId="5" applyFont="1" applyFill="1" applyBorder="1" applyAlignment="1" applyProtection="1">
      <alignment horizontal="left" vertical="center"/>
      <protection hidden="1"/>
    </xf>
    <xf numFmtId="0" fontId="4" fillId="3" borderId="4" xfId="5" applyFont="1" applyFill="1" applyBorder="1" applyAlignment="1" applyProtection="1">
      <alignment horizontal="left" vertical="center"/>
      <protection hidden="1"/>
    </xf>
    <xf numFmtId="0" fontId="4" fillId="3" borderId="3" xfId="5" applyFont="1" applyFill="1" applyBorder="1" applyAlignment="1" applyProtection="1">
      <alignment horizontal="left" vertical="center"/>
      <protection hidden="1"/>
    </xf>
    <xf numFmtId="49" fontId="4" fillId="3" borderId="1" xfId="5" applyNumberFormat="1" applyFont="1" applyFill="1" applyBorder="1" applyAlignment="1" applyProtection="1">
      <alignment horizontal="center" vertical="top" wrapText="1"/>
      <protection locked="0" hidden="1"/>
    </xf>
    <xf numFmtId="0" fontId="4" fillId="3" borderId="7" xfId="5" applyFont="1" applyFill="1" applyBorder="1" applyAlignment="1" applyProtection="1">
      <alignment horizontal="center" vertical="center" wrapText="1"/>
      <protection hidden="1"/>
    </xf>
    <xf numFmtId="0" fontId="4" fillId="3" borderId="14" xfId="5" applyFont="1" applyFill="1" applyBorder="1" applyAlignment="1" applyProtection="1">
      <alignment horizontal="center" vertical="center" wrapText="1"/>
      <protection hidden="1"/>
    </xf>
    <xf numFmtId="0" fontId="4" fillId="3" borderId="8" xfId="5" applyFont="1" applyFill="1" applyBorder="1" applyAlignment="1" applyProtection="1">
      <alignment horizontal="center" vertical="center" wrapText="1"/>
      <protection hidden="1"/>
    </xf>
    <xf numFmtId="0" fontId="4" fillId="3" borderId="9" xfId="5" applyFont="1" applyFill="1" applyBorder="1" applyAlignment="1" applyProtection="1">
      <alignment horizontal="center" vertical="center" wrapText="1"/>
      <protection hidden="1"/>
    </xf>
    <xf numFmtId="0" fontId="4" fillId="3" borderId="0" xfId="5" applyFont="1" applyFill="1" applyAlignment="1" applyProtection="1">
      <alignment horizontal="center" vertical="center" wrapText="1"/>
      <protection hidden="1"/>
    </xf>
    <xf numFmtId="0" fontId="4" fillId="3" borderId="6" xfId="5" applyFont="1" applyFill="1" applyBorder="1" applyAlignment="1" applyProtection="1">
      <alignment horizontal="center" vertical="center" wrapText="1"/>
      <protection hidden="1"/>
    </xf>
    <xf numFmtId="0" fontId="24" fillId="3" borderId="1" xfId="0" applyFont="1" applyFill="1" applyBorder="1" applyAlignment="1" applyProtection="1">
      <alignment horizontal="center" wrapText="1"/>
      <protection locked="0" hidden="1"/>
    </xf>
    <xf numFmtId="0" fontId="4" fillId="3" borderId="2" xfId="5" applyFont="1" applyFill="1" applyBorder="1" applyAlignment="1" applyProtection="1">
      <alignment horizontal="center" vertical="center"/>
      <protection hidden="1"/>
    </xf>
    <xf numFmtId="0" fontId="4" fillId="3" borderId="4" xfId="5" applyFont="1" applyFill="1" applyBorder="1" applyAlignment="1" applyProtection="1">
      <alignment horizontal="center" vertical="center"/>
      <protection hidden="1"/>
    </xf>
    <xf numFmtId="0" fontId="4" fillId="3" borderId="3" xfId="5" applyFont="1" applyFill="1" applyBorder="1" applyAlignment="1" applyProtection="1">
      <alignment horizontal="center" vertical="center"/>
      <protection hidden="1"/>
    </xf>
    <xf numFmtId="49" fontId="4" fillId="3" borderId="2" xfId="5" applyNumberFormat="1" applyFont="1" applyFill="1" applyBorder="1" applyAlignment="1" applyProtection="1">
      <alignment horizontal="center" vertical="top" wrapText="1"/>
      <protection locked="0" hidden="1"/>
    </xf>
    <xf numFmtId="49" fontId="4" fillId="3" borderId="4" xfId="5" applyNumberFormat="1" applyFont="1" applyFill="1" applyBorder="1" applyAlignment="1" applyProtection="1">
      <alignment horizontal="center" vertical="top" wrapText="1"/>
      <protection locked="0" hidden="1"/>
    </xf>
    <xf numFmtId="49" fontId="4" fillId="3" borderId="3" xfId="5" applyNumberFormat="1" applyFont="1" applyFill="1" applyBorder="1" applyAlignment="1" applyProtection="1">
      <alignment horizontal="center" vertical="top" wrapText="1"/>
      <protection locked="0" hidden="1"/>
    </xf>
    <xf numFmtId="0" fontId="24" fillId="3" borderId="2" xfId="0" applyFont="1" applyFill="1" applyBorder="1" applyAlignment="1" applyProtection="1">
      <alignment horizontal="center" vertical="center"/>
      <protection locked="0" hidden="1"/>
    </xf>
    <xf numFmtId="0" fontId="24" fillId="3" borderId="3" xfId="0" applyFont="1" applyFill="1" applyBorder="1" applyAlignment="1" applyProtection="1">
      <alignment horizontal="center" vertical="center"/>
      <protection locked="0" hidden="1"/>
    </xf>
    <xf numFmtId="0" fontId="24" fillId="3" borderId="3" xfId="0" applyFont="1" applyFill="1" applyBorder="1" applyAlignment="1" applyProtection="1">
      <alignment horizontal="center" vertical="center" wrapText="1"/>
      <protection locked="0" hidden="1"/>
    </xf>
    <xf numFmtId="0" fontId="22" fillId="3" borderId="1" xfId="0" applyFont="1" applyFill="1" applyBorder="1" applyAlignment="1" applyProtection="1">
      <alignment horizontal="center" vertical="center" wrapText="1"/>
      <protection locked="0" hidden="1"/>
    </xf>
    <xf numFmtId="0" fontId="22" fillId="3" borderId="2" xfId="0" applyFont="1" applyFill="1" applyBorder="1" applyAlignment="1" applyProtection="1">
      <alignment horizontal="center" vertical="center" wrapText="1"/>
      <protection locked="0" hidden="1"/>
    </xf>
    <xf numFmtId="0" fontId="4" fillId="3" borderId="2" xfId="5" applyFont="1" applyFill="1" applyBorder="1" applyAlignment="1" applyProtection="1">
      <alignment horizontal="center"/>
      <protection hidden="1"/>
    </xf>
    <xf numFmtId="0" fontId="4" fillId="3" borderId="4" xfId="5" applyFont="1" applyFill="1" applyBorder="1" applyAlignment="1" applyProtection="1">
      <alignment horizontal="center"/>
      <protection hidden="1"/>
    </xf>
    <xf numFmtId="0" fontId="4" fillId="3" borderId="3" xfId="5" applyFont="1" applyFill="1" applyBorder="1" applyAlignment="1" applyProtection="1">
      <alignment horizontal="center"/>
      <protection hidden="1"/>
    </xf>
    <xf numFmtId="0" fontId="4" fillId="3" borderId="4" xfId="5" applyFont="1" applyFill="1" applyBorder="1" applyAlignment="1" applyProtection="1">
      <alignment horizontal="left"/>
      <protection hidden="1"/>
    </xf>
    <xf numFmtId="0" fontId="4" fillId="3" borderId="7" xfId="5" applyFont="1" applyFill="1" applyBorder="1" applyAlignment="1" applyProtection="1">
      <alignment horizontal="center" vertical="center"/>
      <protection hidden="1"/>
    </xf>
    <xf numFmtId="0" fontId="4" fillId="3" borderId="14" xfId="5" applyFont="1" applyFill="1" applyBorder="1" applyAlignment="1" applyProtection="1">
      <alignment horizontal="center" vertical="center"/>
      <protection hidden="1"/>
    </xf>
    <xf numFmtId="0" fontId="4" fillId="3" borderId="8" xfId="5" applyFont="1" applyFill="1" applyBorder="1" applyAlignment="1" applyProtection="1">
      <alignment horizontal="center" vertical="center"/>
      <protection hidden="1"/>
    </xf>
    <xf numFmtId="0" fontId="4" fillId="3" borderId="11" xfId="5" applyFont="1" applyFill="1" applyBorder="1" applyAlignment="1" applyProtection="1">
      <alignment horizontal="center" vertical="center"/>
      <protection hidden="1"/>
    </xf>
    <xf numFmtId="0" fontId="4" fillId="3" borderId="13" xfId="5" applyFont="1" applyFill="1" applyBorder="1" applyAlignment="1" applyProtection="1">
      <alignment horizontal="center" vertical="center"/>
      <protection hidden="1"/>
    </xf>
    <xf numFmtId="0" fontId="4" fillId="3" borderId="12" xfId="5" applyFont="1" applyFill="1" applyBorder="1" applyAlignment="1" applyProtection="1">
      <alignment horizontal="center" vertical="center"/>
      <protection hidden="1"/>
    </xf>
    <xf numFmtId="0" fontId="18" fillId="3" borderId="2" xfId="8" applyFont="1" applyFill="1" applyBorder="1" applyAlignment="1" applyProtection="1">
      <alignment horizontal="center" vertical="center"/>
      <protection hidden="1"/>
    </xf>
    <xf numFmtId="0" fontId="18" fillId="3" borderId="4" xfId="8" applyFont="1" applyFill="1" applyBorder="1" applyAlignment="1" applyProtection="1">
      <alignment horizontal="center" vertical="center"/>
      <protection hidden="1"/>
    </xf>
    <xf numFmtId="0" fontId="18" fillId="3" borderId="3" xfId="8" applyFont="1" applyFill="1" applyBorder="1" applyAlignment="1" applyProtection="1">
      <alignment horizontal="center" vertical="center"/>
      <protection hidden="1"/>
    </xf>
    <xf numFmtId="0" fontId="4" fillId="3" borderId="2" xfId="5" applyFont="1" applyFill="1" applyBorder="1" applyAlignment="1" applyProtection="1">
      <alignment horizontal="center" vertical="center" wrapText="1"/>
      <protection hidden="1"/>
    </xf>
    <xf numFmtId="0" fontId="4" fillId="3" borderId="4" xfId="5" applyFont="1" applyFill="1" applyBorder="1" applyAlignment="1" applyProtection="1">
      <alignment horizontal="center" vertical="center" wrapText="1"/>
      <protection hidden="1"/>
    </xf>
    <xf numFmtId="0" fontId="4" fillId="3" borderId="3" xfId="5" applyFont="1" applyFill="1" applyBorder="1" applyAlignment="1" applyProtection="1">
      <alignment horizontal="center" vertical="center" wrapText="1"/>
      <protection hidden="1"/>
    </xf>
    <xf numFmtId="0" fontId="18" fillId="3" borderId="4" xfId="8" applyFont="1" applyFill="1" applyBorder="1" applyAlignment="1" applyProtection="1">
      <alignment horizontal="center"/>
      <protection hidden="1"/>
    </xf>
    <xf numFmtId="166" fontId="4" fillId="3" borderId="1" xfId="5" applyNumberFormat="1" applyFont="1" applyFill="1" applyBorder="1" applyAlignment="1" applyProtection="1">
      <alignment horizontal="center" vertical="center"/>
      <protection hidden="1"/>
    </xf>
    <xf numFmtId="166" fontId="33" fillId="3" borderId="2" xfId="5" applyNumberFormat="1" applyFont="1" applyFill="1" applyBorder="1" applyAlignment="1" applyProtection="1">
      <alignment horizontal="center" vertical="center"/>
      <protection hidden="1"/>
    </xf>
    <xf numFmtId="166" fontId="33" fillId="3" borderId="4" xfId="5" applyNumberFormat="1" applyFont="1" applyFill="1" applyBorder="1" applyAlignment="1" applyProtection="1">
      <alignment horizontal="center" vertical="center"/>
      <protection hidden="1"/>
    </xf>
    <xf numFmtId="0" fontId="18" fillId="3" borderId="1" xfId="0" applyFont="1" applyFill="1" applyBorder="1" applyAlignment="1" applyProtection="1">
      <alignment horizontal="center"/>
      <protection hidden="1"/>
    </xf>
    <xf numFmtId="0" fontId="4" fillId="3" borderId="2" xfId="5" applyFont="1" applyFill="1" applyBorder="1" applyAlignment="1" applyProtection="1">
      <alignment horizontal="center" vertical="top"/>
      <protection hidden="1"/>
    </xf>
    <xf numFmtId="0" fontId="4" fillId="3" borderId="4" xfId="5" applyFont="1" applyFill="1" applyBorder="1" applyAlignment="1" applyProtection="1">
      <alignment horizontal="center" vertical="top"/>
      <protection hidden="1"/>
    </xf>
    <xf numFmtId="0" fontId="4" fillId="3" borderId="3" xfId="5" applyFont="1" applyFill="1" applyBorder="1" applyAlignment="1" applyProtection="1">
      <alignment horizontal="center" vertical="top"/>
      <protection hidden="1"/>
    </xf>
    <xf numFmtId="0" fontId="4" fillId="3" borderId="1" xfId="5" applyFont="1" applyFill="1" applyBorder="1" applyAlignment="1" applyProtection="1">
      <alignment horizontal="left" vertical="center"/>
      <protection hidden="1"/>
    </xf>
    <xf numFmtId="0" fontId="4" fillId="3" borderId="1" xfId="5" applyFont="1" applyFill="1" applyBorder="1" applyAlignment="1" applyProtection="1">
      <alignment horizontal="center" vertical="top"/>
      <protection locked="0" hidden="1"/>
    </xf>
    <xf numFmtId="0" fontId="4" fillId="3" borderId="1" xfId="5" applyFont="1" applyFill="1" applyBorder="1" applyAlignment="1" applyProtection="1">
      <alignment horizontal="left" vertical="center" wrapText="1"/>
      <protection hidden="1"/>
    </xf>
    <xf numFmtId="49" fontId="4" fillId="3" borderId="2" xfId="5" applyNumberFormat="1" applyFont="1" applyFill="1" applyBorder="1" applyAlignment="1" applyProtection="1">
      <alignment horizontal="left" vertical="top" wrapText="1"/>
      <protection locked="0" hidden="1"/>
    </xf>
    <xf numFmtId="49" fontId="4" fillId="3" borderId="4" xfId="5" applyNumberFormat="1" applyFont="1" applyFill="1" applyBorder="1" applyAlignment="1" applyProtection="1">
      <alignment horizontal="left" vertical="top" wrapText="1"/>
      <protection locked="0" hidden="1"/>
    </xf>
    <xf numFmtId="49" fontId="4" fillId="3" borderId="3" xfId="5" applyNumberFormat="1" applyFont="1" applyFill="1" applyBorder="1" applyAlignment="1" applyProtection="1">
      <alignment horizontal="left" vertical="top" wrapText="1"/>
      <protection locked="0" hidden="1"/>
    </xf>
    <xf numFmtId="2" fontId="4" fillId="3" borderId="2" xfId="5" applyNumberFormat="1" applyFont="1" applyFill="1" applyBorder="1" applyAlignment="1" applyProtection="1">
      <alignment horizontal="center" vertical="center" wrapText="1"/>
      <protection locked="0" hidden="1"/>
    </xf>
    <xf numFmtId="2" fontId="4" fillId="3" borderId="4" xfId="5" applyNumberFormat="1" applyFont="1" applyFill="1" applyBorder="1" applyAlignment="1" applyProtection="1">
      <alignment horizontal="center" vertical="center" wrapText="1"/>
      <protection locked="0" hidden="1"/>
    </xf>
    <xf numFmtId="2" fontId="4" fillId="3" borderId="3" xfId="5" applyNumberFormat="1" applyFont="1" applyFill="1" applyBorder="1" applyAlignment="1" applyProtection="1">
      <alignment horizontal="center" vertical="center" wrapText="1"/>
      <protection locked="0" hidden="1"/>
    </xf>
    <xf numFmtId="0" fontId="4" fillId="3" borderId="7" xfId="5" applyFont="1" applyFill="1" applyBorder="1" applyAlignment="1" applyProtection="1">
      <alignment horizontal="left" vertical="top" wrapText="1"/>
      <protection hidden="1"/>
    </xf>
    <xf numFmtId="0" fontId="4" fillId="3" borderId="14" xfId="5" applyFont="1" applyFill="1" applyBorder="1" applyAlignment="1" applyProtection="1">
      <alignment horizontal="left" vertical="top" wrapText="1"/>
      <protection hidden="1"/>
    </xf>
    <xf numFmtId="0" fontId="4" fillId="3" borderId="8" xfId="5" applyFont="1" applyFill="1" applyBorder="1" applyAlignment="1" applyProtection="1">
      <alignment horizontal="left" vertical="top" wrapText="1"/>
      <protection hidden="1"/>
    </xf>
    <xf numFmtId="0" fontId="4" fillId="3" borderId="11" xfId="5" applyFont="1" applyFill="1" applyBorder="1" applyAlignment="1" applyProtection="1">
      <alignment horizontal="left" vertical="top" wrapText="1"/>
      <protection hidden="1"/>
    </xf>
    <xf numFmtId="0" fontId="4" fillId="3" borderId="13" xfId="5" applyFont="1" applyFill="1" applyBorder="1" applyAlignment="1" applyProtection="1">
      <alignment horizontal="left" vertical="top" wrapText="1"/>
      <protection hidden="1"/>
    </xf>
    <xf numFmtId="0" fontId="4" fillId="3" borderId="12" xfId="5" applyFont="1" applyFill="1" applyBorder="1" applyAlignment="1" applyProtection="1">
      <alignment horizontal="left" vertical="top" wrapText="1"/>
      <protection hidden="1"/>
    </xf>
    <xf numFmtId="0" fontId="4" fillId="3" borderId="16" xfId="5" applyFont="1" applyFill="1" applyBorder="1" applyAlignment="1" applyProtection="1">
      <alignment horizontal="center" vertical="top"/>
      <protection hidden="1"/>
    </xf>
    <xf numFmtId="0" fontId="4" fillId="3" borderId="10" xfId="5" applyFont="1" applyFill="1" applyBorder="1" applyAlignment="1" applyProtection="1">
      <alignment horizontal="center" vertical="top"/>
      <protection hidden="1"/>
    </xf>
    <xf numFmtId="0" fontId="4" fillId="3" borderId="11" xfId="5" applyFont="1" applyFill="1" applyBorder="1" applyAlignment="1" applyProtection="1">
      <alignment horizontal="center" vertical="center" wrapText="1"/>
      <protection hidden="1"/>
    </xf>
    <xf numFmtId="0" fontId="4" fillId="3" borderId="13" xfId="5" applyFont="1" applyFill="1" applyBorder="1" applyAlignment="1" applyProtection="1">
      <alignment horizontal="center" vertical="center" wrapText="1"/>
      <protection hidden="1"/>
    </xf>
    <xf numFmtId="0" fontId="4" fillId="3" borderId="12" xfId="5" applyFont="1" applyFill="1" applyBorder="1" applyAlignment="1" applyProtection="1">
      <alignment horizontal="center" vertical="center" wrapText="1"/>
      <protection hidden="1"/>
    </xf>
    <xf numFmtId="0" fontId="18" fillId="3" borderId="2" xfId="0" applyFont="1" applyFill="1" applyBorder="1" applyAlignment="1" applyProtection="1">
      <alignment horizontal="center"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3" xfId="0" applyFont="1" applyFill="1" applyBorder="1" applyAlignment="1" applyProtection="1">
      <alignment horizontal="center" vertical="center"/>
      <protection hidden="1"/>
    </xf>
    <xf numFmtId="0" fontId="33" fillId="3" borderId="7" xfId="5" applyFont="1" applyFill="1" applyBorder="1" applyAlignment="1" applyProtection="1">
      <alignment horizontal="center" vertical="center"/>
      <protection locked="0" hidden="1"/>
    </xf>
    <xf numFmtId="0" fontId="33" fillId="3" borderId="14" xfId="5" applyFont="1" applyFill="1" applyBorder="1" applyAlignment="1" applyProtection="1">
      <alignment horizontal="center" vertical="center"/>
      <protection locked="0" hidden="1"/>
    </xf>
    <xf numFmtId="0" fontId="33" fillId="3" borderId="8" xfId="5" applyFont="1" applyFill="1" applyBorder="1" applyAlignment="1" applyProtection="1">
      <alignment horizontal="center" vertical="center"/>
      <protection locked="0" hidden="1"/>
    </xf>
    <xf numFmtId="0" fontId="33" fillId="3" borderId="11" xfId="5" applyFont="1" applyFill="1" applyBorder="1" applyAlignment="1" applyProtection="1">
      <alignment horizontal="center" vertical="center"/>
      <protection locked="0" hidden="1"/>
    </xf>
    <xf numFmtId="0" fontId="33" fillId="3" borderId="13" xfId="5" applyFont="1" applyFill="1" applyBorder="1" applyAlignment="1" applyProtection="1">
      <alignment horizontal="center" vertical="center"/>
      <protection locked="0" hidden="1"/>
    </xf>
    <xf numFmtId="0" fontId="33" fillId="3" borderId="12" xfId="5" applyFont="1" applyFill="1" applyBorder="1" applyAlignment="1" applyProtection="1">
      <alignment horizontal="center" vertical="center"/>
      <protection locked="0" hidden="1"/>
    </xf>
    <xf numFmtId="0" fontId="34" fillId="3" borderId="2" xfId="5" applyFont="1" applyFill="1" applyBorder="1" applyAlignment="1" applyProtection="1">
      <alignment horizontal="center" vertical="top" wrapText="1"/>
      <protection hidden="1"/>
    </xf>
    <xf numFmtId="0" fontId="34" fillId="3" borderId="4" xfId="5" applyFont="1" applyFill="1" applyBorder="1" applyAlignment="1" applyProtection="1">
      <alignment horizontal="center" vertical="top" wrapText="1"/>
      <protection hidden="1"/>
    </xf>
    <xf numFmtId="9" fontId="31" fillId="3" borderId="2" xfId="4" applyFont="1" applyFill="1" applyBorder="1" applyAlignment="1" applyProtection="1">
      <alignment horizontal="center" vertical="center"/>
      <protection hidden="1"/>
    </xf>
    <xf numFmtId="9" fontId="31" fillId="3" borderId="3" xfId="4" applyFont="1" applyFill="1" applyBorder="1" applyAlignment="1" applyProtection="1">
      <alignment horizontal="center" vertical="center"/>
      <protection hidden="1"/>
    </xf>
    <xf numFmtId="49" fontId="4" fillId="3" borderId="2" xfId="5" applyNumberFormat="1" applyFont="1" applyFill="1" applyBorder="1" applyAlignment="1" applyProtection="1">
      <alignment horizontal="center" vertical="center"/>
      <protection hidden="1"/>
    </xf>
    <xf numFmtId="49" fontId="4" fillId="3" borderId="4" xfId="5" applyNumberFormat="1" applyFont="1" applyFill="1" applyBorder="1" applyAlignment="1" applyProtection="1">
      <alignment horizontal="center" vertical="center"/>
      <protection hidden="1"/>
    </xf>
    <xf numFmtId="49" fontId="4" fillId="3" borderId="3" xfId="5" applyNumberFormat="1" applyFont="1" applyFill="1" applyBorder="1" applyAlignment="1" applyProtection="1">
      <alignment horizontal="center" vertical="center"/>
      <protection hidden="1"/>
    </xf>
    <xf numFmtId="168" fontId="19" fillId="3" borderId="0" xfId="8" applyNumberFormat="1" applyFont="1" applyFill="1" applyAlignment="1" applyProtection="1">
      <alignment horizontal="center"/>
      <protection hidden="1"/>
    </xf>
    <xf numFmtId="0" fontId="18" fillId="3" borderId="2" xfId="0" applyFont="1" applyFill="1" applyBorder="1" applyAlignment="1" applyProtection="1">
      <alignment horizontal="center"/>
      <protection hidden="1"/>
    </xf>
    <xf numFmtId="0" fontId="18" fillId="3" borderId="3" xfId="0" applyFont="1" applyFill="1" applyBorder="1" applyAlignment="1" applyProtection="1">
      <alignment horizontal="center"/>
      <protection hidden="1"/>
    </xf>
    <xf numFmtId="49" fontId="4" fillId="3" borderId="2" xfId="5" applyNumberFormat="1" applyFont="1" applyFill="1" applyBorder="1" applyAlignment="1" applyProtection="1">
      <alignment horizontal="left" vertical="top"/>
      <protection hidden="1"/>
    </xf>
    <xf numFmtId="49" fontId="4" fillId="3" borderId="4" xfId="5" applyNumberFormat="1" applyFont="1" applyFill="1" applyBorder="1" applyAlignment="1" applyProtection="1">
      <alignment horizontal="left" vertical="top"/>
      <protection hidden="1"/>
    </xf>
    <xf numFmtId="49" fontId="4" fillId="3" borderId="3" xfId="5" applyNumberFormat="1" applyFont="1" applyFill="1" applyBorder="1" applyAlignment="1" applyProtection="1">
      <alignment horizontal="left" vertical="top"/>
      <protection hidden="1"/>
    </xf>
    <xf numFmtId="0" fontId="4" fillId="3" borderId="4" xfId="5" applyFont="1" applyFill="1" applyBorder="1" applyAlignment="1" applyProtection="1">
      <alignment horizontal="left" vertical="top" wrapText="1"/>
      <protection hidden="1"/>
    </xf>
    <xf numFmtId="0" fontId="4" fillId="3" borderId="2" xfId="5" applyFont="1" applyFill="1" applyBorder="1" applyAlignment="1" applyProtection="1">
      <alignment horizontal="center" vertical="top" wrapText="1"/>
      <protection hidden="1"/>
    </xf>
    <xf numFmtId="0" fontId="4" fillId="3" borderId="4" xfId="5" applyFont="1" applyFill="1" applyBorder="1" applyAlignment="1" applyProtection="1">
      <alignment horizontal="center" vertical="top" wrapText="1"/>
      <protection hidden="1"/>
    </xf>
    <xf numFmtId="0" fontId="4" fillId="3" borderId="3" xfId="5" applyFont="1" applyFill="1" applyBorder="1" applyAlignment="1" applyProtection="1">
      <alignment horizontal="center" vertical="top" wrapText="1"/>
      <protection hidden="1"/>
    </xf>
    <xf numFmtId="0" fontId="4" fillId="3" borderId="9" xfId="5" applyFont="1" applyFill="1" applyBorder="1" applyAlignment="1" applyProtection="1">
      <alignment horizontal="left" vertical="top" wrapText="1"/>
      <protection hidden="1"/>
    </xf>
    <xf numFmtId="0" fontId="4" fillId="3" borderId="0" xfId="5" applyFont="1" applyFill="1" applyAlignment="1" applyProtection="1">
      <alignment horizontal="left" vertical="top" wrapText="1"/>
      <protection hidden="1"/>
    </xf>
    <xf numFmtId="0" fontId="4" fillId="3" borderId="6" xfId="5" applyFont="1" applyFill="1" applyBorder="1" applyAlignment="1" applyProtection="1">
      <alignment horizontal="left" vertical="top" wrapText="1"/>
      <protection hidden="1"/>
    </xf>
    <xf numFmtId="2" fontId="4" fillId="3" borderId="1" xfId="5" applyNumberFormat="1" applyFont="1" applyFill="1" applyBorder="1" applyAlignment="1" applyProtection="1">
      <alignment horizontal="center" vertical="center" wrapText="1"/>
      <protection locked="0" hidden="1"/>
    </xf>
    <xf numFmtId="0" fontId="18" fillId="3" borderId="4" xfId="0" applyFont="1" applyFill="1" applyBorder="1" applyAlignment="1" applyProtection="1">
      <alignment horizontal="center"/>
      <protection hidden="1"/>
    </xf>
    <xf numFmtId="0" fontId="24" fillId="3" borderId="1" xfId="0" applyFont="1" applyFill="1" applyBorder="1" applyAlignment="1" applyProtection="1">
      <alignment horizontal="center"/>
      <protection locked="0" hidden="1"/>
    </xf>
    <xf numFmtId="4" fontId="18" fillId="3" borderId="1" xfId="0" applyNumberFormat="1" applyFont="1" applyFill="1" applyBorder="1" applyAlignment="1" applyProtection="1">
      <alignment horizontal="center"/>
      <protection hidden="1"/>
    </xf>
    <xf numFmtId="0" fontId="34" fillId="3" borderId="2" xfId="5" applyFont="1" applyFill="1" applyBorder="1" applyAlignment="1" applyProtection="1">
      <alignment horizontal="center" vertical="center" wrapText="1"/>
      <protection locked="0" hidden="1"/>
    </xf>
    <xf numFmtId="0" fontId="34" fillId="3" borderId="4" xfId="5" applyFont="1" applyFill="1" applyBorder="1" applyAlignment="1" applyProtection="1">
      <alignment horizontal="center" vertical="center" wrapText="1"/>
      <protection locked="0" hidden="1"/>
    </xf>
    <xf numFmtId="0" fontId="34" fillId="3" borderId="3" xfId="5" applyFont="1" applyFill="1" applyBorder="1" applyAlignment="1" applyProtection="1">
      <alignment horizontal="center" vertical="center" wrapText="1"/>
      <protection locked="0" hidden="1"/>
    </xf>
    <xf numFmtId="0" fontId="24" fillId="3" borderId="0" xfId="0" applyFont="1" applyFill="1" applyAlignment="1" applyProtection="1">
      <alignment horizontal="center" wrapText="1"/>
      <protection hidden="1"/>
    </xf>
    <xf numFmtId="0" fontId="4" fillId="3" borderId="0" xfId="5" applyFont="1" applyFill="1" applyAlignment="1" applyProtection="1">
      <alignment horizontal="center" wrapText="1"/>
      <protection hidden="1"/>
    </xf>
    <xf numFmtId="49" fontId="4" fillId="3" borderId="0" xfId="5" applyNumberFormat="1" applyFont="1" applyFill="1" applyAlignment="1" applyProtection="1">
      <alignment horizontal="left" vertical="top" wrapText="1"/>
      <protection locked="0" hidden="1"/>
    </xf>
    <xf numFmtId="0" fontId="4" fillId="3" borderId="1" xfId="5" applyFont="1" applyFill="1" applyBorder="1" applyAlignment="1" applyProtection="1">
      <alignment horizontal="left" vertical="top"/>
      <protection hidden="1"/>
    </xf>
    <xf numFmtId="0" fontId="34" fillId="3" borderId="1" xfId="5" applyFont="1" applyFill="1" applyBorder="1" applyAlignment="1" applyProtection="1">
      <alignment horizontal="center" vertical="top"/>
      <protection hidden="1"/>
    </xf>
    <xf numFmtId="0" fontId="18" fillId="3" borderId="1" xfId="0" applyFont="1" applyFill="1" applyBorder="1" applyAlignment="1" applyProtection="1">
      <alignment horizontal="center"/>
      <protection locked="0" hidden="1"/>
    </xf>
    <xf numFmtId="0" fontId="4" fillId="3" borderId="0" xfId="5" applyFont="1" applyFill="1" applyAlignment="1" applyProtection="1">
      <alignment horizontal="center" vertical="top"/>
      <protection hidden="1"/>
    </xf>
    <xf numFmtId="49" fontId="18" fillId="3" borderId="1" xfId="0" applyNumberFormat="1" applyFont="1" applyFill="1" applyBorder="1" applyAlignment="1" applyProtection="1">
      <alignment horizontal="center"/>
      <protection locked="0" hidden="1"/>
    </xf>
    <xf numFmtId="0" fontId="34" fillId="3" borderId="1" xfId="5" applyFont="1" applyFill="1" applyBorder="1" applyAlignment="1" applyProtection="1">
      <alignment horizontal="center" vertical="top" wrapText="1"/>
      <protection hidden="1"/>
    </xf>
    <xf numFmtId="169" fontId="4" fillId="3" borderId="1" xfId="5" applyNumberFormat="1" applyFont="1" applyFill="1" applyBorder="1" applyAlignment="1" applyProtection="1">
      <alignment horizontal="center" vertical="top"/>
      <protection locked="0" hidden="1"/>
    </xf>
    <xf numFmtId="0" fontId="22" fillId="3" borderId="1" xfId="0" applyFont="1" applyFill="1" applyBorder="1" applyAlignment="1" applyProtection="1">
      <alignment horizontal="center"/>
      <protection hidden="1"/>
    </xf>
    <xf numFmtId="0" fontId="27" fillId="3" borderId="0" xfId="5" applyFont="1" applyFill="1" applyAlignment="1" applyProtection="1">
      <alignment horizontal="left" vertical="top" wrapText="1"/>
      <protection hidden="1"/>
    </xf>
    <xf numFmtId="169" fontId="4" fillId="3" borderId="1" xfId="5" applyNumberFormat="1" applyFont="1" applyFill="1" applyBorder="1" applyAlignment="1" applyProtection="1">
      <alignment horizontal="center" vertical="top"/>
      <protection hidden="1"/>
    </xf>
    <xf numFmtId="0" fontId="22" fillId="3" borderId="1" xfId="8" applyFont="1" applyFill="1" applyBorder="1" applyAlignment="1" applyProtection="1">
      <alignment horizontal="center"/>
      <protection hidden="1"/>
    </xf>
    <xf numFmtId="0" fontId="4" fillId="3" borderId="1" xfId="5" applyFont="1" applyFill="1" applyBorder="1" applyAlignment="1" applyProtection="1">
      <alignment horizontal="center" vertical="top"/>
      <protection hidden="1"/>
    </xf>
    <xf numFmtId="0" fontId="34" fillId="3" borderId="1" xfId="5" applyFont="1" applyFill="1" applyBorder="1" applyAlignment="1" applyProtection="1">
      <alignment horizontal="center"/>
      <protection hidden="1"/>
    </xf>
    <xf numFmtId="0" fontId="27" fillId="3" borderId="0" xfId="5" applyFont="1" applyFill="1" applyAlignment="1" applyProtection="1">
      <alignment horizontal="left"/>
      <protection hidden="1"/>
    </xf>
    <xf numFmtId="0" fontId="22" fillId="3" borderId="4" xfId="0" applyFont="1" applyFill="1" applyBorder="1" applyAlignment="1" applyProtection="1">
      <alignment horizontal="center" vertical="center" wrapText="1"/>
      <protection locked="0" hidden="1"/>
    </xf>
    <xf numFmtId="0" fontId="22" fillId="3" borderId="3" xfId="0" applyFont="1" applyFill="1" applyBorder="1" applyAlignment="1" applyProtection="1">
      <alignment horizontal="center" vertical="center" wrapText="1"/>
      <protection locked="0" hidden="1"/>
    </xf>
    <xf numFmtId="0" fontId="18" fillId="3" borderId="1" xfId="0" applyFont="1" applyFill="1" applyBorder="1" applyAlignment="1" applyProtection="1">
      <alignment horizontal="center" vertical="center"/>
      <protection locked="0" hidden="1"/>
    </xf>
    <xf numFmtId="0" fontId="18" fillId="3" borderId="1" xfId="0" applyFont="1" applyFill="1" applyBorder="1" applyAlignment="1" applyProtection="1">
      <alignment horizontal="center" vertical="center" wrapText="1"/>
      <protection locked="0" hidden="1"/>
    </xf>
    <xf numFmtId="166" fontId="33" fillId="3" borderId="1" xfId="5" applyNumberFormat="1" applyFont="1" applyFill="1" applyBorder="1" applyAlignment="1" applyProtection="1">
      <alignment horizontal="center" vertical="center"/>
      <protection hidden="1"/>
    </xf>
    <xf numFmtId="0" fontId="44" fillId="3" borderId="1" xfId="5" applyFont="1" applyFill="1" applyBorder="1" applyAlignment="1" applyProtection="1">
      <alignment horizontal="center"/>
      <protection hidden="1"/>
    </xf>
    <xf numFmtId="0" fontId="44" fillId="3" borderId="2" xfId="5" applyFont="1" applyFill="1" applyBorder="1" applyAlignment="1" applyProtection="1">
      <alignment horizontal="center" wrapText="1"/>
      <protection hidden="1"/>
    </xf>
    <xf numFmtId="0" fontId="44" fillId="3" borderId="4" xfId="5" applyFont="1" applyFill="1" applyBorder="1" applyAlignment="1" applyProtection="1">
      <alignment horizontal="center" wrapText="1"/>
      <protection hidden="1"/>
    </xf>
    <xf numFmtId="0" fontId="44" fillId="3" borderId="3" xfId="5" applyFont="1" applyFill="1" applyBorder="1" applyAlignment="1" applyProtection="1">
      <alignment horizontal="center" wrapText="1"/>
      <protection hidden="1"/>
    </xf>
    <xf numFmtId="0" fontId="44" fillId="3" borderId="2" xfId="5" applyFont="1" applyFill="1" applyBorder="1" applyAlignment="1" applyProtection="1">
      <alignment horizontal="center" vertical="center"/>
      <protection hidden="1"/>
    </xf>
    <xf numFmtId="0" fontId="44" fillId="3" borderId="4" xfId="5" applyFont="1" applyFill="1" applyBorder="1" applyAlignment="1" applyProtection="1">
      <alignment horizontal="center" vertical="center"/>
      <protection hidden="1"/>
    </xf>
    <xf numFmtId="0" fontId="44" fillId="3" borderId="3" xfId="5" applyFont="1" applyFill="1" applyBorder="1" applyAlignment="1" applyProtection="1">
      <alignment horizontal="center" vertical="center"/>
      <protection hidden="1"/>
    </xf>
    <xf numFmtId="0" fontId="44" fillId="3" borderId="1" xfId="5" applyFont="1" applyFill="1" applyBorder="1" applyAlignment="1" applyProtection="1">
      <alignment horizontal="center" vertical="center"/>
      <protection hidden="1"/>
    </xf>
    <xf numFmtId="0" fontId="22" fillId="3" borderId="0" xfId="9" applyFont="1" applyFill="1" applyAlignment="1" applyProtection="1">
      <alignment horizontal="center" wrapText="1"/>
      <protection hidden="1"/>
    </xf>
    <xf numFmtId="0" fontId="20" fillId="3" borderId="2" xfId="9" quotePrefix="1" applyFont="1" applyFill="1" applyBorder="1" applyAlignment="1" applyProtection="1">
      <alignment horizontal="left" vertical="center"/>
      <protection hidden="1"/>
    </xf>
    <xf numFmtId="0" fontId="20" fillId="3" borderId="4" xfId="9" quotePrefix="1" applyFont="1" applyFill="1" applyBorder="1" applyAlignment="1" applyProtection="1">
      <alignment horizontal="left" vertical="center"/>
      <protection hidden="1"/>
    </xf>
    <xf numFmtId="0" fontId="20" fillId="3" borderId="3" xfId="9" quotePrefix="1" applyFont="1" applyFill="1" applyBorder="1" applyAlignment="1" applyProtection="1">
      <alignment horizontal="left" vertical="center"/>
      <protection hidden="1"/>
    </xf>
    <xf numFmtId="0" fontId="24" fillId="3" borderId="2" xfId="9" applyFont="1" applyFill="1" applyBorder="1" applyAlignment="1" applyProtection="1">
      <alignment horizontal="center" vertical="center" wrapText="1"/>
      <protection hidden="1"/>
    </xf>
    <xf numFmtId="0" fontId="24" fillId="3" borderId="4" xfId="9" applyFont="1" applyFill="1" applyBorder="1" applyAlignment="1" applyProtection="1">
      <alignment horizontal="center" vertical="center" wrapText="1"/>
      <protection hidden="1"/>
    </xf>
    <xf numFmtId="164" fontId="20" fillId="3" borderId="2" xfId="9" applyNumberFormat="1" applyFont="1" applyFill="1" applyBorder="1" applyAlignment="1" applyProtection="1">
      <alignment horizontal="center" vertical="center"/>
      <protection hidden="1"/>
    </xf>
    <xf numFmtId="164" fontId="20" fillId="3" borderId="4" xfId="9" applyNumberFormat="1" applyFont="1" applyFill="1" applyBorder="1" applyAlignment="1" applyProtection="1">
      <alignment horizontal="center" vertical="center"/>
      <protection hidden="1"/>
    </xf>
    <xf numFmtId="164" fontId="20" fillId="3" borderId="3" xfId="9" applyNumberFormat="1" applyFont="1" applyFill="1" applyBorder="1" applyAlignment="1" applyProtection="1">
      <alignment horizontal="center" vertical="center"/>
      <protection hidden="1"/>
    </xf>
    <xf numFmtId="0" fontId="20" fillId="3" borderId="2" xfId="9" applyFont="1" applyFill="1" applyBorder="1" applyAlignment="1" applyProtection="1">
      <alignment horizontal="center" vertical="center"/>
      <protection hidden="1"/>
    </xf>
    <xf numFmtId="0" fontId="20" fillId="3" borderId="4" xfId="9" applyFont="1" applyFill="1" applyBorder="1" applyAlignment="1" applyProtection="1">
      <alignment horizontal="center" vertical="center"/>
      <protection hidden="1"/>
    </xf>
    <xf numFmtId="0" fontId="20" fillId="3" borderId="3" xfId="9" applyFont="1" applyFill="1" applyBorder="1" applyAlignment="1" applyProtection="1">
      <alignment horizontal="center" vertical="center"/>
      <protection hidden="1"/>
    </xf>
    <xf numFmtId="0" fontId="20" fillId="3" borderId="0" xfId="9" applyFont="1" applyFill="1" applyAlignment="1" applyProtection="1">
      <alignment horizontal="right" vertical="top"/>
      <protection locked="0"/>
    </xf>
    <xf numFmtId="0" fontId="20" fillId="3" borderId="0" xfId="9" applyFont="1" applyFill="1" applyAlignment="1" applyProtection="1">
      <alignment horizontal="center"/>
      <protection hidden="1"/>
    </xf>
    <xf numFmtId="2" fontId="20" fillId="3" borderId="2" xfId="9" applyNumberFormat="1" applyFont="1" applyFill="1" applyBorder="1" applyAlignment="1" applyProtection="1">
      <alignment horizontal="center" vertical="center"/>
      <protection hidden="1"/>
    </xf>
    <xf numFmtId="2" fontId="20" fillId="3" borderId="4" xfId="9" applyNumberFormat="1" applyFont="1" applyFill="1" applyBorder="1" applyAlignment="1" applyProtection="1">
      <alignment horizontal="center" vertical="center"/>
      <protection hidden="1"/>
    </xf>
    <xf numFmtId="2" fontId="20" fillId="3" borderId="3" xfId="9" applyNumberFormat="1" applyFont="1" applyFill="1" applyBorder="1" applyAlignment="1" applyProtection="1">
      <alignment horizontal="center" vertical="center"/>
      <protection hidden="1"/>
    </xf>
    <xf numFmtId="0" fontId="20" fillId="3" borderId="2" xfId="9" quotePrefix="1" applyFont="1" applyFill="1" applyBorder="1" applyAlignment="1" applyProtection="1">
      <alignment horizontal="left" vertical="center" wrapText="1"/>
      <protection hidden="1"/>
    </xf>
    <xf numFmtId="0" fontId="20" fillId="3" borderId="4" xfId="9" quotePrefix="1" applyFont="1" applyFill="1" applyBorder="1" applyAlignment="1" applyProtection="1">
      <alignment horizontal="left" vertical="center" wrapText="1"/>
      <protection hidden="1"/>
    </xf>
    <xf numFmtId="0" fontId="20" fillId="3" borderId="3" xfId="9" quotePrefix="1" applyFont="1" applyFill="1" applyBorder="1" applyAlignment="1" applyProtection="1">
      <alignment horizontal="left" vertical="center" wrapText="1"/>
      <protection hidden="1"/>
    </xf>
    <xf numFmtId="0" fontId="20" fillId="3" borderId="2" xfId="9" applyFont="1" applyFill="1" applyBorder="1" applyAlignment="1" applyProtection="1">
      <alignment horizontal="center" vertical="center"/>
      <protection locked="0"/>
    </xf>
    <xf numFmtId="0" fontId="20" fillId="3" borderId="4" xfId="9" applyFont="1" applyFill="1" applyBorder="1" applyAlignment="1" applyProtection="1">
      <alignment horizontal="center" vertical="center"/>
      <protection locked="0"/>
    </xf>
    <xf numFmtId="0" fontId="20" fillId="3" borderId="3" xfId="9" applyFont="1" applyFill="1" applyBorder="1" applyAlignment="1" applyProtection="1">
      <alignment horizontal="center" vertical="center"/>
      <protection locked="0"/>
    </xf>
    <xf numFmtId="0" fontId="22" fillId="3" borderId="14" xfId="9" applyFont="1" applyFill="1" applyBorder="1" applyAlignment="1" applyProtection="1">
      <alignment horizontal="left" vertical="top" wrapText="1"/>
      <protection hidden="1"/>
    </xf>
    <xf numFmtId="0" fontId="22" fillId="3" borderId="0" xfId="9" applyFont="1" applyFill="1" applyAlignment="1" applyProtection="1">
      <alignment horizontal="center" vertical="top"/>
      <protection hidden="1"/>
    </xf>
    <xf numFmtId="0" fontId="19" fillId="3" borderId="0" xfId="9" applyFont="1" applyFill="1" applyAlignment="1" applyProtection="1">
      <alignment horizontal="center"/>
      <protection hidden="1"/>
    </xf>
    <xf numFmtId="0" fontId="20" fillId="3" borderId="0" xfId="9" applyFont="1" applyFill="1" applyAlignment="1" applyProtection="1">
      <alignment horizontal="center" wrapText="1"/>
      <protection hidden="1"/>
    </xf>
    <xf numFmtId="0" fontId="22" fillId="3" borderId="0" xfId="9" applyFont="1" applyFill="1" applyAlignment="1" applyProtection="1">
      <alignment horizontal="left" vertical="top" wrapText="1"/>
      <protection hidden="1"/>
    </xf>
    <xf numFmtId="0" fontId="19" fillId="3" borderId="0" xfId="9" applyFont="1" applyFill="1" applyAlignment="1" applyProtection="1">
      <alignment horizontal="center" vertical="center" wrapText="1"/>
      <protection locked="0"/>
    </xf>
    <xf numFmtId="0" fontId="19" fillId="3" borderId="0" xfId="9" applyFont="1" applyFill="1" applyAlignment="1" applyProtection="1">
      <alignment horizontal="left" vertical="top" wrapText="1"/>
      <protection hidden="1"/>
    </xf>
    <xf numFmtId="0" fontId="22" fillId="3" borderId="14" xfId="9" applyFont="1" applyFill="1" applyBorder="1" applyAlignment="1" applyProtection="1">
      <alignment horizontal="left" vertical="top"/>
      <protection hidden="1"/>
    </xf>
    <xf numFmtId="0" fontId="20" fillId="3" borderId="0" xfId="9" applyFont="1" applyFill="1" applyAlignment="1" applyProtection="1">
      <alignment horizontal="left" wrapText="1"/>
      <protection hidden="1"/>
    </xf>
    <xf numFmtId="10" fontId="20" fillId="3" borderId="1" xfId="10" applyNumberFormat="1" applyFont="1" applyFill="1" applyBorder="1" applyAlignment="1" applyProtection="1">
      <alignment horizontal="center" vertical="center"/>
      <protection locked="0"/>
    </xf>
    <xf numFmtId="2" fontId="20" fillId="3" borderId="2" xfId="9" applyNumberFormat="1" applyFont="1" applyFill="1" applyBorder="1" applyAlignment="1" applyProtection="1">
      <alignment horizontal="center" vertical="center"/>
      <protection locked="0"/>
    </xf>
    <xf numFmtId="2" fontId="20" fillId="3" borderId="4" xfId="9" applyNumberFormat="1" applyFont="1" applyFill="1" applyBorder="1" applyAlignment="1" applyProtection="1">
      <alignment horizontal="center" vertical="center"/>
      <protection locked="0"/>
    </xf>
    <xf numFmtId="2" fontId="20" fillId="3" borderId="3" xfId="9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horizontal="center" wrapText="1"/>
      <protection hidden="1"/>
    </xf>
  </cellXfs>
  <cellStyles count="12">
    <cellStyle name="Normalny" xfId="0" builtinId="0"/>
    <cellStyle name="Normalny 2" xfId="1" xr:uid="{00000000-0005-0000-0000-000001000000}"/>
    <cellStyle name="Normalny 2 2" xfId="5" xr:uid="{00000000-0005-0000-0000-000002000000}"/>
    <cellStyle name="Normalny 2 3" xfId="9" xr:uid="{499FAD8F-5997-4F4D-AEB5-50CEC4B158D3}"/>
    <cellStyle name="Normalny 3" xfId="2" xr:uid="{00000000-0005-0000-0000-000003000000}"/>
    <cellStyle name="Normalny 4" xfId="3" xr:uid="{00000000-0005-0000-0000-000004000000}"/>
    <cellStyle name="Normalny 5" xfId="8" xr:uid="{00000000-0005-0000-0000-000005000000}"/>
    <cellStyle name="Normalny 6" xfId="11" xr:uid="{7313EC64-20A0-4BBB-9CB6-054B49E64607}"/>
    <cellStyle name="Procentowy" xfId="4" builtinId="5"/>
    <cellStyle name="Procentowy 2" xfId="6" xr:uid="{00000000-0005-0000-0000-000007000000}"/>
    <cellStyle name="Procentowy 3" xfId="7" xr:uid="{00000000-0005-0000-0000-000008000000}"/>
    <cellStyle name="Procentowy 4" xfId="10" xr:uid="{4AB17CFE-01F3-4E34-885C-4CC91F9C4F1B}"/>
  </cellStyles>
  <dxfs count="6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Z23"/>
  <sheetViews>
    <sheetView showGridLines="0" tabSelected="1" zoomScale="85" zoomScaleNormal="85" workbookViewId="0"/>
  </sheetViews>
  <sheetFormatPr defaultColWidth="9" defaultRowHeight="14.25"/>
  <cols>
    <col min="1" max="1" width="4.125" style="1" customWidth="1"/>
    <col min="2" max="16384" width="9" style="1"/>
  </cols>
  <sheetData>
    <row r="1" spans="1:26" ht="24.95" customHeight="1">
      <c r="A1" s="211" t="s">
        <v>413</v>
      </c>
      <c r="C1" s="19"/>
      <c r="D1" s="19"/>
    </row>
    <row r="2" spans="1:26" ht="24.95" customHeight="1">
      <c r="A2" s="211"/>
      <c r="C2" s="19"/>
      <c r="D2" s="19"/>
    </row>
    <row r="3" spans="1:26" ht="50.1" customHeight="1">
      <c r="A3" s="214" t="s">
        <v>410</v>
      </c>
      <c r="B3" s="214"/>
      <c r="C3" s="214"/>
      <c r="D3" s="214"/>
      <c r="E3" s="214"/>
      <c r="F3" s="214"/>
      <c r="G3" s="214"/>
      <c r="H3" s="214"/>
      <c r="I3" s="214"/>
    </row>
    <row r="4" spans="1:26" ht="24.95" customHeight="1"/>
    <row r="5" spans="1:26" ht="24.95" customHeight="1">
      <c r="A5" s="18" t="s">
        <v>403</v>
      </c>
      <c r="B5" s="19" t="s">
        <v>409</v>
      </c>
      <c r="C5" s="19"/>
      <c r="D5" s="19"/>
    </row>
    <row r="6" spans="1:26" ht="24.95" customHeight="1">
      <c r="A6" s="18" t="s">
        <v>404</v>
      </c>
      <c r="B6" s="19" t="s">
        <v>207</v>
      </c>
      <c r="C6" s="19"/>
      <c r="D6" s="19"/>
    </row>
    <row r="7" spans="1:26" ht="24.95" customHeight="1">
      <c r="A7" s="18" t="s">
        <v>405</v>
      </c>
      <c r="B7" s="19" t="s">
        <v>272</v>
      </c>
      <c r="C7" s="19"/>
      <c r="D7" s="19"/>
    </row>
    <row r="8" spans="1:26" ht="24.95" customHeight="1">
      <c r="A8" s="18" t="s">
        <v>406</v>
      </c>
      <c r="B8" s="19" t="s">
        <v>196</v>
      </c>
      <c r="C8" s="19"/>
      <c r="D8" s="19"/>
    </row>
    <row r="9" spans="1:26" ht="24.95" customHeight="1">
      <c r="A9" s="18" t="s">
        <v>407</v>
      </c>
      <c r="B9" s="19" t="s">
        <v>206</v>
      </c>
      <c r="C9" s="19"/>
      <c r="D9" s="19"/>
    </row>
    <row r="10" spans="1:26" ht="24.95" customHeight="1">
      <c r="A10" s="18" t="s">
        <v>408</v>
      </c>
      <c r="B10" s="19" t="s">
        <v>275</v>
      </c>
      <c r="C10" s="19"/>
      <c r="D10" s="19"/>
    </row>
    <row r="11" spans="1:26" ht="24.95" customHeight="1">
      <c r="A11" s="18"/>
      <c r="C11" s="19"/>
      <c r="D11" s="19"/>
    </row>
    <row r="12" spans="1:26" ht="24.95" customHeight="1">
      <c r="A12" s="18"/>
      <c r="B12" s="210" t="s">
        <v>273</v>
      </c>
      <c r="C12" s="19"/>
      <c r="D12" s="19"/>
    </row>
    <row r="13" spans="1:26" s="19" customFormat="1" ht="50.1" customHeight="1">
      <c r="A13" s="18"/>
      <c r="B13" s="213" t="s">
        <v>414</v>
      </c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3"/>
      <c r="Y13" s="213"/>
      <c r="Z13" s="213"/>
    </row>
    <row r="14" spans="1:26" s="19" customFormat="1" ht="24.95" customHeight="1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s="19" customFormat="1" ht="75" customHeight="1">
      <c r="B15" s="213" t="s">
        <v>415</v>
      </c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</row>
    <row r="16" spans="1:26" s="19" customFormat="1" ht="24.95" customHeight="1"/>
    <row r="17" spans="2:26" s="19" customFormat="1" ht="50.1" customHeight="1">
      <c r="B17" s="213" t="s">
        <v>274</v>
      </c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</row>
    <row r="18" spans="2:26" s="19" customFormat="1" ht="24.95" customHeight="1"/>
    <row r="19" spans="2:26" s="19" customFormat="1" ht="50.1" customHeight="1">
      <c r="B19" s="213" t="s">
        <v>417</v>
      </c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</row>
    <row r="21" spans="2:26" ht="75" customHeight="1">
      <c r="B21" s="213" t="s">
        <v>418</v>
      </c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</row>
    <row r="23" spans="2:26" ht="23.25">
      <c r="B23" s="213" t="s">
        <v>416</v>
      </c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</row>
  </sheetData>
  <sheetProtection algorithmName="SHA-512" hashValue="bok27RmXs7oo7lCc6QJYXhGAdfUPc98tW5v5/HLj8cU0O3Ucap+q7q22Uya8AWF8SYnbYJG2XsSIZ47+dySG0A==" saltValue="ED5isYNkMni4Nyd5lYO4+Q==" spinCount="100000" sheet="1" formatRows="0"/>
  <mergeCells count="7">
    <mergeCell ref="B21:Z21"/>
    <mergeCell ref="B23:Z23"/>
    <mergeCell ref="B19:Z19"/>
    <mergeCell ref="A3:I3"/>
    <mergeCell ref="B13:Z13"/>
    <mergeCell ref="B15:Z15"/>
    <mergeCell ref="B17:Z17"/>
  </mergeCells>
  <pageMargins left="0.31496062992125984" right="0.11811023622047245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BC297"/>
  <sheetViews>
    <sheetView zoomScaleNormal="100" zoomScaleSheetLayoutView="100" workbookViewId="0">
      <selection activeCell="A5" sqref="A5:F5"/>
    </sheetView>
  </sheetViews>
  <sheetFormatPr defaultColWidth="9" defaultRowHeight="14.25"/>
  <cols>
    <col min="1" max="1" width="11.75" style="38" customWidth="1"/>
    <col min="2" max="2" width="16.75" style="38" customWidth="1"/>
    <col min="3" max="3" width="14.75" style="38" customWidth="1"/>
    <col min="4" max="4" width="14.5" style="38" customWidth="1"/>
    <col min="5" max="5" width="14.25" style="38" customWidth="1"/>
    <col min="6" max="6" width="14.875" style="38" customWidth="1"/>
    <col min="7" max="16384" width="9" style="38"/>
  </cols>
  <sheetData>
    <row r="1" spans="1:51" ht="12.75" customHeight="1">
      <c r="A1" s="250" t="s">
        <v>164</v>
      </c>
      <c r="B1" s="250"/>
      <c r="C1" s="250"/>
      <c r="D1" s="250"/>
      <c r="E1" s="250"/>
      <c r="F1" s="250"/>
      <c r="M1" s="39"/>
      <c r="N1" s="40"/>
      <c r="O1" s="40"/>
      <c r="P1" s="40"/>
      <c r="Q1" s="40"/>
      <c r="R1" s="40"/>
      <c r="S1" s="40"/>
      <c r="T1" s="40"/>
      <c r="U1" s="40"/>
      <c r="V1" s="40"/>
      <c r="W1" s="41"/>
      <c r="X1" s="41"/>
      <c r="Y1" s="41"/>
      <c r="Z1" s="41"/>
      <c r="AA1" s="39"/>
      <c r="AB1" s="39"/>
      <c r="AC1" s="39"/>
      <c r="AD1" s="39"/>
      <c r="AE1" s="39"/>
      <c r="AF1" s="39"/>
      <c r="AG1" s="39"/>
      <c r="AH1" s="39"/>
      <c r="AI1" s="220"/>
      <c r="AJ1" s="220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</row>
    <row r="2" spans="1:51" ht="14.25" customHeight="1">
      <c r="A2" s="254" t="s">
        <v>358</v>
      </c>
      <c r="B2" s="254"/>
      <c r="C2" s="254"/>
      <c r="D2" s="254"/>
      <c r="E2" s="254"/>
      <c r="F2" s="254"/>
      <c r="M2" s="39"/>
      <c r="N2" s="40"/>
      <c r="O2" s="40"/>
      <c r="P2" s="40"/>
      <c r="Q2" s="40"/>
      <c r="R2" s="40"/>
      <c r="S2" s="40"/>
      <c r="T2" s="40"/>
      <c r="U2" s="40"/>
      <c r="V2" s="40"/>
      <c r="W2" s="41"/>
      <c r="X2" s="41"/>
      <c r="Y2" s="41"/>
      <c r="Z2" s="41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</row>
    <row r="3" spans="1:51" ht="13.5" customHeight="1">
      <c r="A3" s="254" t="s">
        <v>165</v>
      </c>
      <c r="B3" s="254"/>
      <c r="C3" s="254"/>
      <c r="D3" s="254"/>
      <c r="E3" s="254"/>
      <c r="F3" s="254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</row>
    <row r="4" spans="1:51" ht="3" customHeight="1">
      <c r="A4" s="43"/>
      <c r="B4" s="43"/>
      <c r="C4" s="43"/>
      <c r="D4" s="43"/>
      <c r="E4" s="43"/>
      <c r="F4" s="43"/>
      <c r="M4" s="39"/>
      <c r="N4" s="44"/>
      <c r="O4" s="44"/>
      <c r="P4" s="44"/>
      <c r="Q4" s="44"/>
      <c r="R4" s="44"/>
      <c r="S4" s="44"/>
      <c r="T4" s="39"/>
      <c r="U4" s="44"/>
      <c r="V4" s="44"/>
      <c r="W4" s="44"/>
      <c r="X4" s="44"/>
      <c r="Y4" s="44"/>
      <c r="Z4" s="44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</row>
    <row r="5" spans="1:51" ht="35.25" customHeight="1">
      <c r="A5" s="255"/>
      <c r="B5" s="255"/>
      <c r="C5" s="255"/>
      <c r="D5" s="255"/>
      <c r="E5" s="255"/>
      <c r="F5" s="255"/>
      <c r="M5" s="39"/>
      <c r="N5" s="45"/>
      <c r="O5" s="45"/>
      <c r="P5" s="45"/>
      <c r="Q5" s="45"/>
      <c r="R5" s="45"/>
      <c r="S5" s="45"/>
      <c r="T5" s="39"/>
      <c r="U5" s="45"/>
      <c r="V5" s="45"/>
      <c r="W5" s="45"/>
      <c r="X5" s="45"/>
      <c r="Y5" s="45"/>
      <c r="Z5" s="45"/>
      <c r="AA5" s="39"/>
      <c r="AB5" s="39"/>
      <c r="AC5" s="39"/>
      <c r="AD5" s="39"/>
      <c r="AE5" s="39"/>
      <c r="AF5" s="39"/>
      <c r="AG5" s="39"/>
      <c r="AH5" s="39"/>
      <c r="AI5" s="43"/>
      <c r="AJ5" s="46"/>
      <c r="AK5" s="39"/>
      <c r="AL5" s="47"/>
      <c r="AM5" s="39"/>
      <c r="AN5" s="47"/>
      <c r="AO5" s="39"/>
      <c r="AP5" s="43"/>
      <c r="AQ5" s="39"/>
      <c r="AR5" s="39"/>
      <c r="AS5" s="39"/>
      <c r="AT5" s="39"/>
      <c r="AU5" s="43"/>
      <c r="AV5" s="48"/>
      <c r="AW5" s="48"/>
      <c r="AX5" s="48"/>
      <c r="AY5" s="39"/>
    </row>
    <row r="6" spans="1:51" ht="11.25" customHeight="1">
      <c r="A6" s="256" t="s">
        <v>166</v>
      </c>
      <c r="B6" s="256"/>
      <c r="C6" s="256"/>
      <c r="D6" s="256"/>
      <c r="E6" s="256"/>
      <c r="F6" s="256"/>
      <c r="M6" s="39"/>
      <c r="N6" s="50"/>
      <c r="O6" s="50"/>
      <c r="P6" s="50"/>
      <c r="Q6" s="50"/>
      <c r="R6" s="50"/>
      <c r="S6" s="50"/>
      <c r="T6" s="39"/>
      <c r="U6" s="50"/>
      <c r="V6" s="50"/>
      <c r="W6" s="50"/>
      <c r="X6" s="50"/>
      <c r="Y6" s="50"/>
      <c r="Z6" s="50"/>
      <c r="AA6" s="39"/>
      <c r="AB6" s="39"/>
      <c r="AC6" s="39"/>
      <c r="AD6" s="39"/>
      <c r="AE6" s="39"/>
      <c r="AF6" s="39"/>
      <c r="AG6" s="39"/>
      <c r="AH6" s="39"/>
      <c r="AI6" s="43"/>
      <c r="AJ6" s="46"/>
      <c r="AK6" s="39"/>
      <c r="AL6" s="47"/>
      <c r="AM6" s="39"/>
      <c r="AN6" s="47"/>
      <c r="AO6" s="39"/>
      <c r="AP6" s="43"/>
      <c r="AQ6" s="39"/>
      <c r="AR6" s="39"/>
      <c r="AS6" s="39"/>
      <c r="AT6" s="39"/>
      <c r="AU6" s="43"/>
      <c r="AV6" s="48"/>
      <c r="AW6" s="48"/>
      <c r="AX6" s="48"/>
      <c r="AY6" s="39"/>
    </row>
    <row r="7" spans="1:51" ht="3.75" customHeight="1">
      <c r="A7" s="51"/>
      <c r="B7" s="51"/>
      <c r="C7" s="51"/>
      <c r="D7" s="51"/>
      <c r="E7" s="51"/>
      <c r="F7" s="51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43"/>
      <c r="AJ7" s="46"/>
      <c r="AK7" s="39"/>
      <c r="AL7" s="47"/>
      <c r="AM7" s="39"/>
      <c r="AN7" s="47"/>
      <c r="AO7" s="39"/>
      <c r="AP7" s="43"/>
      <c r="AQ7" s="39"/>
      <c r="AR7" s="39"/>
      <c r="AS7" s="39"/>
      <c r="AT7" s="39"/>
      <c r="AU7" s="43"/>
      <c r="AV7" s="48"/>
      <c r="AW7" s="48"/>
      <c r="AX7" s="48"/>
      <c r="AY7" s="39"/>
    </row>
    <row r="8" spans="1:51">
      <c r="A8" s="52" t="s">
        <v>174</v>
      </c>
      <c r="B8" s="43"/>
      <c r="C8" s="43"/>
      <c r="D8" s="43"/>
      <c r="E8" s="43"/>
      <c r="F8" s="43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43"/>
      <c r="AJ8" s="46"/>
      <c r="AK8" s="39"/>
      <c r="AL8" s="47"/>
      <c r="AM8" s="39"/>
      <c r="AN8" s="47"/>
      <c r="AO8" s="39"/>
      <c r="AP8" s="43"/>
      <c r="AQ8" s="39"/>
      <c r="AR8" s="39"/>
      <c r="AS8" s="39"/>
      <c r="AT8" s="39"/>
      <c r="AU8" s="43"/>
      <c r="AV8" s="48"/>
      <c r="AW8" s="48"/>
      <c r="AX8" s="48"/>
      <c r="AY8" s="39"/>
    </row>
    <row r="9" spans="1:51" ht="3" customHeight="1">
      <c r="A9" s="43"/>
      <c r="B9" s="43"/>
      <c r="C9" s="43"/>
      <c r="D9" s="43"/>
      <c r="E9" s="43"/>
      <c r="F9" s="43"/>
      <c r="M9" s="39"/>
      <c r="N9" s="42"/>
      <c r="O9" s="42"/>
      <c r="P9" s="42"/>
      <c r="Q9" s="42"/>
      <c r="R9" s="42"/>
      <c r="S9" s="42"/>
      <c r="T9" s="39"/>
      <c r="U9" s="42"/>
      <c r="V9" s="42"/>
      <c r="W9" s="42"/>
      <c r="X9" s="42"/>
      <c r="Y9" s="42"/>
      <c r="Z9" s="42"/>
      <c r="AA9" s="39"/>
      <c r="AB9" s="39"/>
      <c r="AC9" s="39"/>
      <c r="AD9" s="39"/>
      <c r="AE9" s="39"/>
      <c r="AF9" s="39"/>
      <c r="AG9" s="39"/>
      <c r="AH9" s="39"/>
      <c r="AI9" s="43"/>
      <c r="AJ9" s="46"/>
      <c r="AK9" s="39"/>
      <c r="AL9" s="47"/>
      <c r="AM9" s="39"/>
      <c r="AN9" s="47"/>
      <c r="AO9" s="39"/>
      <c r="AP9" s="43"/>
      <c r="AQ9" s="39"/>
      <c r="AR9" s="39"/>
      <c r="AS9" s="39"/>
      <c r="AT9" s="39"/>
      <c r="AU9" s="43"/>
      <c r="AV9" s="48"/>
      <c r="AW9" s="48"/>
      <c r="AX9" s="48"/>
      <c r="AY9" s="39"/>
    </row>
    <row r="10" spans="1:51">
      <c r="A10" s="53" t="s">
        <v>167</v>
      </c>
      <c r="B10" s="53"/>
      <c r="C10" s="253" t="s">
        <v>168</v>
      </c>
      <c r="D10" s="253"/>
      <c r="E10" s="253" t="s">
        <v>112</v>
      </c>
      <c r="F10" s="253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43"/>
      <c r="AJ10" s="46"/>
      <c r="AK10" s="39"/>
      <c r="AL10" s="47"/>
      <c r="AM10" s="39"/>
      <c r="AN10" s="47"/>
      <c r="AO10" s="39"/>
      <c r="AP10" s="43"/>
      <c r="AQ10" s="39"/>
      <c r="AR10" s="39"/>
      <c r="AS10" s="39"/>
      <c r="AT10" s="39"/>
      <c r="AU10" s="43"/>
      <c r="AV10" s="48"/>
      <c r="AW10" s="48"/>
      <c r="AX10" s="48"/>
      <c r="AY10" s="39"/>
    </row>
    <row r="11" spans="1:51" ht="15">
      <c r="A11" s="221" t="s">
        <v>190</v>
      </c>
      <c r="B11" s="222"/>
      <c r="C11" s="258"/>
      <c r="D11" s="258"/>
      <c r="E11" s="258"/>
      <c r="F11" s="258"/>
      <c r="M11" s="39"/>
      <c r="N11" s="45"/>
      <c r="O11" s="45"/>
      <c r="P11" s="45"/>
      <c r="Q11" s="45"/>
      <c r="R11" s="45"/>
      <c r="S11" s="45"/>
      <c r="T11" s="39"/>
      <c r="U11" s="45"/>
      <c r="V11" s="45"/>
      <c r="W11" s="45"/>
      <c r="X11" s="45"/>
      <c r="Y11" s="45"/>
      <c r="Z11" s="45"/>
      <c r="AA11" s="39"/>
      <c r="AB11" s="39"/>
      <c r="AC11" s="39"/>
      <c r="AD11" s="39"/>
      <c r="AE11" s="39"/>
      <c r="AF11" s="39"/>
      <c r="AG11" s="39"/>
      <c r="AH11" s="39"/>
      <c r="AI11" s="43"/>
      <c r="AJ11" s="46"/>
      <c r="AK11" s="39"/>
      <c r="AL11" s="47"/>
      <c r="AM11" s="39"/>
      <c r="AN11" s="47"/>
      <c r="AO11" s="39"/>
      <c r="AP11" s="43"/>
      <c r="AQ11" s="39"/>
      <c r="AR11" s="39"/>
      <c r="AS11" s="39"/>
      <c r="AT11" s="39"/>
      <c r="AU11" s="43"/>
      <c r="AV11" s="48"/>
      <c r="AW11" s="48"/>
      <c r="AX11" s="48"/>
      <c r="AY11" s="39"/>
    </row>
    <row r="12" spans="1:51">
      <c r="A12" s="53" t="s">
        <v>191</v>
      </c>
      <c r="B12" s="53"/>
      <c r="C12" s="258"/>
      <c r="D12" s="258"/>
      <c r="E12" s="258"/>
      <c r="F12" s="258"/>
      <c r="J12" s="41"/>
      <c r="K12" s="41"/>
      <c r="M12" s="39"/>
      <c r="N12" s="50"/>
      <c r="O12" s="50"/>
      <c r="P12" s="50"/>
      <c r="Q12" s="50"/>
      <c r="R12" s="50"/>
      <c r="S12" s="50"/>
      <c r="T12" s="39"/>
      <c r="U12" s="50"/>
      <c r="V12" s="50"/>
      <c r="W12" s="50"/>
      <c r="X12" s="50"/>
      <c r="Y12" s="50"/>
      <c r="Z12" s="50"/>
      <c r="AA12" s="39"/>
      <c r="AB12" s="39"/>
      <c r="AC12" s="39"/>
      <c r="AD12" s="39"/>
      <c r="AE12" s="39"/>
      <c r="AF12" s="39"/>
      <c r="AG12" s="39"/>
      <c r="AH12" s="39"/>
      <c r="AI12" s="43"/>
      <c r="AJ12" s="46"/>
      <c r="AK12" s="39"/>
      <c r="AL12" s="47"/>
      <c r="AM12" s="39"/>
      <c r="AN12" s="47"/>
      <c r="AO12" s="39"/>
      <c r="AP12" s="43"/>
      <c r="AQ12" s="39"/>
      <c r="AR12" s="39"/>
      <c r="AS12" s="39"/>
      <c r="AT12" s="39"/>
      <c r="AU12" s="43"/>
      <c r="AV12" s="48"/>
      <c r="AW12" s="48"/>
      <c r="AX12" s="48"/>
      <c r="AY12" s="39"/>
    </row>
    <row r="13" spans="1:51" ht="14.25" customHeight="1">
      <c r="A13" s="221" t="s">
        <v>192</v>
      </c>
      <c r="B13" s="222"/>
      <c r="C13" s="257"/>
      <c r="D13" s="257"/>
      <c r="E13" s="257"/>
      <c r="F13" s="257"/>
      <c r="J13" s="41"/>
      <c r="K13" s="41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43"/>
      <c r="AJ13" s="46"/>
      <c r="AK13" s="39"/>
      <c r="AL13" s="47"/>
      <c r="AM13" s="39"/>
      <c r="AN13" s="47"/>
      <c r="AO13" s="39"/>
      <c r="AP13" s="43"/>
      <c r="AQ13" s="39"/>
      <c r="AR13" s="39"/>
      <c r="AS13" s="39"/>
      <c r="AT13" s="39"/>
      <c r="AU13" s="43"/>
      <c r="AV13" s="48"/>
      <c r="AW13" s="48"/>
      <c r="AX13" s="48"/>
      <c r="AY13" s="39"/>
    </row>
    <row r="14" spans="1:51">
      <c r="A14" s="221" t="s">
        <v>193</v>
      </c>
      <c r="B14" s="222"/>
      <c r="C14" s="257"/>
      <c r="D14" s="257"/>
      <c r="E14" s="257"/>
      <c r="F14" s="257"/>
      <c r="K14" s="41"/>
      <c r="L14" s="41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43"/>
      <c r="AJ14" s="46"/>
      <c r="AK14" s="39"/>
      <c r="AL14" s="47"/>
      <c r="AM14" s="39"/>
      <c r="AN14" s="47"/>
      <c r="AO14" s="39"/>
      <c r="AP14" s="43"/>
      <c r="AQ14" s="39"/>
      <c r="AR14" s="39"/>
      <c r="AS14" s="39"/>
      <c r="AT14" s="39"/>
      <c r="AU14" s="43"/>
      <c r="AV14" s="48"/>
      <c r="AW14" s="48"/>
      <c r="AX14" s="48"/>
      <c r="AY14" s="39"/>
    </row>
    <row r="15" spans="1:51" ht="15" customHeight="1">
      <c r="A15" s="259" t="s">
        <v>194</v>
      </c>
      <c r="B15" s="259"/>
      <c r="C15" s="257"/>
      <c r="D15" s="257"/>
      <c r="E15" s="257"/>
      <c r="F15" s="257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43"/>
      <c r="AJ15" s="46"/>
      <c r="AK15" s="39"/>
      <c r="AL15" s="47"/>
      <c r="AM15" s="39"/>
      <c r="AN15" s="47"/>
      <c r="AO15" s="39"/>
      <c r="AP15" s="43"/>
      <c r="AQ15" s="39"/>
      <c r="AR15" s="39"/>
      <c r="AS15" s="39"/>
      <c r="AT15" s="39"/>
      <c r="AU15" s="43"/>
      <c r="AV15" s="48"/>
      <c r="AW15" s="48"/>
      <c r="AX15" s="48"/>
      <c r="AY15" s="39"/>
    </row>
    <row r="16" spans="1:51">
      <c r="A16" s="223" t="s">
        <v>189</v>
      </c>
      <c r="B16" s="224"/>
      <c r="C16" s="257"/>
      <c r="D16" s="257"/>
      <c r="E16" s="257"/>
      <c r="F16" s="257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43"/>
      <c r="AJ16" s="46"/>
      <c r="AK16" s="39"/>
      <c r="AL16" s="47"/>
      <c r="AM16" s="39"/>
      <c r="AN16" s="47"/>
      <c r="AO16" s="39"/>
      <c r="AP16" s="43"/>
      <c r="AQ16" s="39"/>
      <c r="AR16" s="39"/>
      <c r="AS16" s="39"/>
      <c r="AT16" s="39"/>
      <c r="AU16" s="43"/>
      <c r="AV16" s="48"/>
      <c r="AW16" s="48"/>
      <c r="AX16" s="48"/>
      <c r="AY16" s="39"/>
    </row>
    <row r="17" spans="1:51" ht="15">
      <c r="A17" s="221" t="s">
        <v>169</v>
      </c>
      <c r="B17" s="222"/>
      <c r="C17" s="257"/>
      <c r="D17" s="257"/>
      <c r="E17" s="257"/>
      <c r="F17" s="257"/>
      <c r="J17" s="41"/>
      <c r="K17" s="41"/>
      <c r="M17" s="39"/>
      <c r="N17" s="45"/>
      <c r="O17" s="45"/>
      <c r="P17" s="45"/>
      <c r="Q17" s="45"/>
      <c r="R17" s="45"/>
      <c r="S17" s="45"/>
      <c r="T17" s="39"/>
      <c r="U17" s="45"/>
      <c r="V17" s="45"/>
      <c r="W17" s="45"/>
      <c r="X17" s="45"/>
      <c r="Y17" s="45"/>
      <c r="Z17" s="45"/>
      <c r="AA17" s="39"/>
      <c r="AB17" s="39"/>
      <c r="AC17" s="39"/>
      <c r="AD17" s="39"/>
      <c r="AE17" s="39"/>
      <c r="AF17" s="39"/>
      <c r="AG17" s="39"/>
      <c r="AH17" s="39"/>
      <c r="AI17" s="43"/>
      <c r="AJ17" s="46"/>
      <c r="AK17" s="39"/>
      <c r="AL17" s="47"/>
      <c r="AM17" s="39"/>
      <c r="AN17" s="47"/>
      <c r="AO17" s="39"/>
      <c r="AP17" s="43"/>
      <c r="AQ17" s="39"/>
      <c r="AR17" s="39"/>
      <c r="AS17" s="39"/>
      <c r="AT17" s="39"/>
      <c r="AU17" s="43"/>
      <c r="AV17" s="48"/>
      <c r="AW17" s="48"/>
      <c r="AX17" s="48"/>
      <c r="AY17" s="39"/>
    </row>
    <row r="18" spans="1:51" ht="14.25" customHeight="1">
      <c r="A18" s="53" t="s">
        <v>195</v>
      </c>
      <c r="B18" s="53"/>
      <c r="C18" s="257"/>
      <c r="D18" s="257"/>
      <c r="E18" s="257"/>
      <c r="F18" s="257"/>
      <c r="L18" s="41"/>
      <c r="M18" s="55"/>
      <c r="N18" s="56"/>
      <c r="O18" s="56"/>
      <c r="P18" s="56"/>
      <c r="Q18" s="56"/>
      <c r="R18" s="56"/>
      <c r="S18" s="56"/>
      <c r="T18" s="39"/>
      <c r="U18" s="56"/>
      <c r="V18" s="56"/>
      <c r="W18" s="56"/>
      <c r="X18" s="56"/>
      <c r="Y18" s="56"/>
      <c r="Z18" s="56"/>
      <c r="AA18" s="39"/>
      <c r="AB18" s="39"/>
      <c r="AC18" s="39"/>
      <c r="AD18" s="39"/>
      <c r="AE18" s="39"/>
      <c r="AF18" s="39"/>
      <c r="AG18" s="39"/>
      <c r="AH18" s="39"/>
      <c r="AI18" s="43"/>
      <c r="AJ18" s="46"/>
      <c r="AK18" s="39"/>
      <c r="AL18" s="47"/>
      <c r="AM18" s="39"/>
      <c r="AN18" s="47"/>
      <c r="AO18" s="39"/>
      <c r="AP18" s="43"/>
      <c r="AQ18" s="39"/>
      <c r="AR18" s="39"/>
      <c r="AS18" s="39"/>
      <c r="AT18" s="39"/>
      <c r="AU18" s="43"/>
      <c r="AV18" s="48"/>
      <c r="AW18" s="48"/>
      <c r="AX18" s="48"/>
      <c r="AY18" s="39"/>
    </row>
    <row r="19" spans="1:51" ht="15.75" customHeight="1">
      <c r="A19" s="259" t="s">
        <v>271</v>
      </c>
      <c r="B19" s="259"/>
      <c r="C19" s="260"/>
      <c r="D19" s="260"/>
      <c r="E19" s="260"/>
      <c r="F19" s="260"/>
      <c r="J19" s="41"/>
      <c r="K19" s="41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3"/>
      <c r="AQ19" s="39"/>
      <c r="AR19" s="39"/>
      <c r="AS19" s="39"/>
      <c r="AT19" s="39"/>
      <c r="AU19" s="43"/>
      <c r="AV19" s="48"/>
      <c r="AW19" s="48"/>
      <c r="AX19" s="48"/>
      <c r="AY19" s="39"/>
    </row>
    <row r="20" spans="1:51">
      <c r="A20" s="53" t="s">
        <v>182</v>
      </c>
      <c r="B20" s="53"/>
      <c r="C20" s="57"/>
      <c r="D20" s="58" t="str">
        <f>IF($M$115=1,"GJ",IF($M$115&lt;=3,"ton (Mg)",IF($M$115=4,"m3",IF($M$115&lt;=6,"mln m3","ton (Mg)"))))</f>
        <v>ton (Mg)</v>
      </c>
      <c r="E20" s="57"/>
      <c r="F20" s="58" t="str">
        <f>IF($O$115=1,"GJ",IF($O$115&lt;=3,"ton (Mg)",IF($O$115=4,"m3",IF($O$115&lt;=6,"mln m3","ton (Mg)"))))</f>
        <v>ton (Mg)</v>
      </c>
      <c r="G20" s="41"/>
      <c r="H20" s="41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43"/>
      <c r="AQ20" s="39"/>
      <c r="AR20" s="39"/>
      <c r="AS20" s="39"/>
      <c r="AT20" s="39"/>
      <c r="AU20" s="43"/>
      <c r="AV20" s="48"/>
      <c r="AW20" s="48"/>
      <c r="AX20" s="48"/>
      <c r="AY20" s="39"/>
    </row>
    <row r="21" spans="1:51" ht="3" customHeight="1">
      <c r="A21" s="43"/>
      <c r="B21" s="43"/>
      <c r="C21" s="43"/>
      <c r="D21" s="43"/>
      <c r="E21" s="43"/>
      <c r="F21" s="43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43"/>
      <c r="AQ21" s="39"/>
      <c r="AR21" s="39"/>
      <c r="AS21" s="39"/>
      <c r="AT21" s="39"/>
      <c r="AU21" s="43"/>
      <c r="AV21" s="48"/>
      <c r="AW21" s="48"/>
      <c r="AX21" s="48"/>
      <c r="AY21" s="39"/>
    </row>
    <row r="22" spans="1:51" ht="3" customHeight="1">
      <c r="A22" s="43"/>
      <c r="B22" s="43"/>
      <c r="C22" s="261"/>
      <c r="D22" s="261"/>
      <c r="E22" s="261"/>
      <c r="F22" s="261"/>
      <c r="M22" s="39"/>
      <c r="N22" s="42"/>
      <c r="O22" s="42"/>
      <c r="P22" s="42"/>
      <c r="Q22" s="42"/>
      <c r="R22" s="39"/>
      <c r="S22" s="39"/>
      <c r="T22" s="39"/>
      <c r="U22" s="42"/>
      <c r="V22" s="42"/>
      <c r="W22" s="42"/>
      <c r="X22" s="42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43"/>
      <c r="AQ22" s="39"/>
      <c r="AR22" s="39"/>
      <c r="AS22" s="39"/>
      <c r="AT22" s="39"/>
      <c r="AU22" s="43"/>
      <c r="AV22" s="48"/>
      <c r="AW22" s="48"/>
      <c r="AX22" s="48"/>
      <c r="AY22" s="39"/>
    </row>
    <row r="23" spans="1:51" ht="26.25" customHeight="1">
      <c r="A23" s="259" t="s">
        <v>359</v>
      </c>
      <c r="B23" s="259"/>
      <c r="C23" s="258"/>
      <c r="D23" s="258"/>
      <c r="E23" s="258"/>
      <c r="F23" s="258"/>
      <c r="M23" s="39"/>
      <c r="N23" s="42"/>
      <c r="O23" s="42"/>
      <c r="P23" s="42"/>
      <c r="Q23" s="42"/>
      <c r="R23" s="39"/>
      <c r="S23" s="39"/>
      <c r="T23" s="39"/>
      <c r="U23" s="42"/>
      <c r="V23" s="42"/>
      <c r="W23" s="42"/>
      <c r="X23" s="42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43"/>
      <c r="AQ23" s="39"/>
      <c r="AR23" s="39"/>
      <c r="AS23" s="39"/>
      <c r="AT23" s="39"/>
      <c r="AU23" s="43"/>
      <c r="AV23" s="48"/>
      <c r="AW23" s="48"/>
      <c r="AX23" s="48"/>
      <c r="AY23" s="39"/>
    </row>
    <row r="24" spans="1:51" ht="16.5" customHeight="1">
      <c r="A24" s="259" t="s">
        <v>276</v>
      </c>
      <c r="B24" s="259"/>
      <c r="C24" s="258"/>
      <c r="D24" s="258"/>
      <c r="E24" s="258"/>
      <c r="F24" s="258"/>
      <c r="M24" s="39"/>
      <c r="N24" s="39"/>
      <c r="O24" s="39"/>
      <c r="P24" s="39"/>
      <c r="Q24" s="39"/>
      <c r="R24" s="59"/>
      <c r="S24" s="39"/>
      <c r="T24" s="39"/>
      <c r="U24" s="39"/>
      <c r="V24" s="39"/>
      <c r="W24" s="39"/>
      <c r="X24" s="39"/>
      <c r="Y24" s="5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43"/>
      <c r="AQ24" s="39"/>
      <c r="AR24" s="39"/>
      <c r="AS24" s="39"/>
      <c r="AT24" s="39"/>
      <c r="AU24" s="43"/>
      <c r="AV24" s="48"/>
      <c r="AW24" s="48"/>
      <c r="AX24" s="48"/>
      <c r="AY24" s="39"/>
    </row>
    <row r="25" spans="1:51" ht="26.1" customHeight="1">
      <c r="A25" s="262" t="s">
        <v>172</v>
      </c>
      <c r="B25" s="262"/>
      <c r="C25" s="258"/>
      <c r="D25" s="258"/>
      <c r="E25" s="258"/>
      <c r="F25" s="258"/>
      <c r="M25" s="39"/>
      <c r="N25" s="39"/>
      <c r="O25" s="39"/>
      <c r="P25" s="39"/>
      <c r="Q25" s="39"/>
      <c r="R25" s="59"/>
      <c r="S25" s="39"/>
      <c r="T25" s="39"/>
      <c r="U25" s="39"/>
      <c r="V25" s="39"/>
      <c r="W25" s="39"/>
      <c r="X25" s="39"/>
      <c r="Y25" s="5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43"/>
      <c r="AQ25" s="39"/>
      <c r="AR25" s="39"/>
      <c r="AS25" s="39"/>
      <c r="AT25" s="39"/>
      <c r="AU25" s="43"/>
      <c r="AV25" s="48"/>
      <c r="AW25" s="48"/>
      <c r="AX25" s="48"/>
      <c r="AY25" s="39"/>
    </row>
    <row r="26" spans="1:51" ht="3" customHeight="1">
      <c r="A26" s="43"/>
      <c r="B26" s="43"/>
      <c r="C26" s="43"/>
      <c r="D26" s="43"/>
      <c r="E26" s="43"/>
      <c r="F26" s="43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43"/>
      <c r="AQ26" s="39"/>
      <c r="AR26" s="39"/>
      <c r="AS26" s="39"/>
      <c r="AT26" s="39"/>
      <c r="AU26" s="43"/>
      <c r="AV26" s="48"/>
      <c r="AW26" s="48"/>
      <c r="AX26" s="48"/>
      <c r="AY26" s="39"/>
    </row>
    <row r="27" spans="1:51" ht="15.75" customHeight="1">
      <c r="A27" s="52" t="s">
        <v>360</v>
      </c>
      <c r="M27" s="39"/>
      <c r="N27" s="39"/>
      <c r="O27" s="39"/>
      <c r="P27" s="39"/>
      <c r="Q27" s="39"/>
      <c r="R27" s="59"/>
      <c r="S27" s="39"/>
      <c r="T27" s="39"/>
      <c r="U27" s="39"/>
      <c r="V27" s="39"/>
      <c r="W27" s="39"/>
      <c r="X27" s="39"/>
      <c r="Y27" s="5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43"/>
      <c r="AQ27" s="39"/>
      <c r="AR27" s="39"/>
      <c r="AS27" s="39"/>
      <c r="AT27" s="39"/>
      <c r="AU27" s="43"/>
      <c r="AV27" s="48"/>
      <c r="AW27" s="48"/>
      <c r="AX27" s="48"/>
      <c r="AY27" s="39"/>
    </row>
    <row r="28" spans="1:51" ht="3" customHeight="1"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43"/>
      <c r="AQ28" s="39"/>
      <c r="AR28" s="39"/>
      <c r="AS28" s="39"/>
      <c r="AT28" s="39"/>
      <c r="AU28" s="43"/>
      <c r="AV28" s="48"/>
      <c r="AW28" s="48"/>
      <c r="AX28" s="48"/>
      <c r="AY28" s="39"/>
    </row>
    <row r="29" spans="1:51">
      <c r="A29" s="263" t="s">
        <v>109</v>
      </c>
      <c r="B29" s="263"/>
      <c r="C29" s="253" t="s">
        <v>110</v>
      </c>
      <c r="D29" s="253"/>
      <c r="E29" s="253" t="s">
        <v>111</v>
      </c>
      <c r="F29" s="253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43"/>
      <c r="AQ29" s="39"/>
      <c r="AR29" s="39"/>
      <c r="AS29" s="39"/>
      <c r="AT29" s="39"/>
      <c r="AU29" s="43"/>
      <c r="AV29" s="48"/>
      <c r="AW29" s="48"/>
      <c r="AX29" s="48"/>
      <c r="AY29" s="39"/>
    </row>
    <row r="30" spans="1:51" ht="15">
      <c r="A30" s="263"/>
      <c r="B30" s="263"/>
      <c r="C30" s="54" t="s">
        <v>115</v>
      </c>
      <c r="D30" s="54" t="s">
        <v>112</v>
      </c>
      <c r="E30" s="54" t="s">
        <v>113</v>
      </c>
      <c r="F30" s="54" t="s">
        <v>114</v>
      </c>
      <c r="M30" s="39"/>
      <c r="N30" s="39"/>
      <c r="O30" s="39"/>
      <c r="P30" s="39"/>
      <c r="Q30" s="61"/>
      <c r="R30" s="61"/>
      <c r="S30" s="45"/>
      <c r="T30" s="39"/>
      <c r="U30" s="39"/>
      <c r="V30" s="39"/>
      <c r="W30" s="39"/>
      <c r="X30" s="61"/>
      <c r="Z30" s="45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43"/>
      <c r="AQ30" s="39"/>
      <c r="AR30" s="39"/>
      <c r="AS30" s="39"/>
      <c r="AT30" s="39"/>
      <c r="AU30" s="43"/>
      <c r="AV30" s="48"/>
      <c r="AW30" s="48"/>
      <c r="AX30" s="48"/>
      <c r="AY30" s="39"/>
    </row>
    <row r="31" spans="1:51" ht="15">
      <c r="A31" s="270">
        <v>1</v>
      </c>
      <c r="B31" s="270"/>
      <c r="C31" s="54">
        <v>2</v>
      </c>
      <c r="D31" s="54">
        <v>3</v>
      </c>
      <c r="E31" s="54">
        <v>4</v>
      </c>
      <c r="F31" s="54">
        <v>5</v>
      </c>
      <c r="M31" s="39"/>
      <c r="N31" s="39"/>
      <c r="O31" s="39"/>
      <c r="P31" s="39"/>
      <c r="Q31" s="39"/>
      <c r="R31" s="62"/>
      <c r="S31" s="45"/>
      <c r="T31" s="39"/>
      <c r="U31" s="39"/>
      <c r="V31" s="39"/>
      <c r="W31" s="39"/>
      <c r="X31" s="39"/>
      <c r="Y31" s="45"/>
      <c r="Z31" s="45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43"/>
      <c r="AQ31" s="39"/>
      <c r="AR31" s="39"/>
      <c r="AS31" s="39"/>
      <c r="AT31" s="39"/>
      <c r="AU31" s="43"/>
      <c r="AV31" s="48"/>
      <c r="AW31" s="48"/>
      <c r="AX31" s="48"/>
      <c r="AY31" s="39"/>
    </row>
    <row r="32" spans="1:51" ht="15" customHeight="1">
      <c r="A32" s="271" t="s">
        <v>361</v>
      </c>
      <c r="B32" s="271"/>
      <c r="C32" s="63">
        <f>IF($M$132&lt;301001,$C$20*$C$23*$M$151*(100-$D$145)/100,IF($M$132&lt;=301003,"Nie oblicza się",IF($M$132&lt;701001,$C$20*$C$23*$M$151*(100-$D$145)/100,$C$20*$M$151*(100-$D$145)/100)))</f>
        <v>0</v>
      </c>
      <c r="D32" s="63">
        <f>IF($O$132&lt;301001,$E$20*$E$23*$O$151*(100-$I$145)/100,IF($O$132&lt;=301003,"Nie oblicza się",IF($O$132&lt;701001,$E$20*$E$23*$O$151*(100-$I$145)/100,$E$20*$O$151*(100-$I$145)/100)))</f>
        <v>0</v>
      </c>
      <c r="E32" s="63">
        <f>IF(C32-D32&gt;0,C32-D32,0)</f>
        <v>0</v>
      </c>
      <c r="F32" s="64">
        <f>IF(C32=0,0,(E32/C32)*100)</f>
        <v>0</v>
      </c>
      <c r="M32" s="39"/>
      <c r="N32" s="65"/>
      <c r="O32" s="39"/>
      <c r="P32" s="39"/>
      <c r="Q32" s="39"/>
      <c r="R32" s="39"/>
      <c r="S32" s="39"/>
      <c r="T32" s="39"/>
      <c r="U32" s="65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43"/>
      <c r="AQ32" s="39"/>
      <c r="AR32" s="39"/>
      <c r="AS32" s="39"/>
      <c r="AT32" s="39"/>
      <c r="AU32" s="43"/>
      <c r="AV32" s="48"/>
      <c r="AW32" s="48"/>
      <c r="AX32" s="48"/>
      <c r="AY32" s="39"/>
    </row>
    <row r="33" spans="1:51" ht="15.75">
      <c r="A33" s="271" t="s">
        <v>362</v>
      </c>
      <c r="B33" s="271"/>
      <c r="C33" s="63">
        <f>IF($M$132&lt;301001,$C$20*$M$152*(100-$D$146)/100,IF($M$132&lt;=301003,"Nie oblicza się",$C$20*$M$152*(100-$D$146)/100))</f>
        <v>0</v>
      </c>
      <c r="D33" s="63">
        <f>IF($O$132&lt;301001,$E$20*$O$152*(100-$I$146)/100,IF($O$132&lt;=301003,"Nie oblicza się",$E$20*$O$152*(100-$I$146)/100))</f>
        <v>0</v>
      </c>
      <c r="E33" s="63">
        <f t="shared" ref="E33:E35" si="0">IF(C33-D33&gt;0,C33-D33,0)</f>
        <v>0</v>
      </c>
      <c r="F33" s="64">
        <f t="shared" ref="F33:F35" si="1">IF(C33=0,0,(E33/C33)*100)</f>
        <v>0</v>
      </c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43"/>
      <c r="AV33" s="48"/>
      <c r="AW33" s="48"/>
      <c r="AX33" s="48"/>
      <c r="AY33" s="39"/>
    </row>
    <row r="34" spans="1:51" ht="14.25" customHeight="1">
      <c r="A34" s="271" t="s">
        <v>40</v>
      </c>
      <c r="B34" s="271"/>
      <c r="C34" s="63">
        <f>IF($M$132&lt;301001,$C$20*$M$154*(100-$D$147)/100,IF($M$132&lt;=301003,"Nie oblicza się",$C$20*$M$154*(100-$D$147)/100))</f>
        <v>0</v>
      </c>
      <c r="D34" s="63">
        <f>IF($O$132&lt;301001,$E$20*$O$154*(100-$I$147)/100,IF($O$132&lt;=301003,"Nie oblicza się",$E$20*$O$154*(100-$I$147)/100))</f>
        <v>0</v>
      </c>
      <c r="E34" s="63">
        <f t="shared" si="0"/>
        <v>0</v>
      </c>
      <c r="F34" s="64">
        <f t="shared" si="1"/>
        <v>0</v>
      </c>
      <c r="J34" s="66"/>
      <c r="M34" s="39"/>
      <c r="N34" s="39"/>
      <c r="O34" s="67"/>
      <c r="P34" s="68"/>
      <c r="Q34" s="68"/>
      <c r="R34" s="69"/>
      <c r="S34" s="39"/>
      <c r="T34" s="39"/>
      <c r="U34" s="39"/>
      <c r="V34" s="67"/>
      <c r="W34" s="68"/>
      <c r="X34" s="68"/>
      <c r="Y34" s="6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43"/>
      <c r="AV34" s="48"/>
      <c r="AW34" s="48"/>
      <c r="AX34" s="48"/>
      <c r="AY34" s="39"/>
    </row>
    <row r="35" spans="1:51" ht="15">
      <c r="A35" s="271" t="s">
        <v>41</v>
      </c>
      <c r="B35" s="271"/>
      <c r="C35" s="63">
        <f>IF($M$132&lt;301001,$C$20*$M$155*$C$24*(100-$C$19)/(100-$C$25),IF($M$132&lt;=301003,"Nie oblicza się",IF($M$132&lt;=302221,$C$20*$M$155*$C$24*(100-$C$19)/(100-$C$25),IF($M$132&lt;=701001,$C$20*$M$155*(100-$C$19)/(100-$C$25),$C$20*$M$155*$C$24*(100-$C$19)/(100-$C$25)))))</f>
        <v>0</v>
      </c>
      <c r="D35" s="63">
        <f>IF($O$132&lt;301001,$E$20*$O$155*$E$24*(100-$E$19)/(100-$E$25),IF($O$132&lt;=301003,"Nie oblicza się",IF($O$132&lt;=302221,$E$20*$O$155*$E$24*(100-$E$19)/(100-$E$25),IF($O$132&lt;=701001,$E$20*$O$155*(100-$E$19)/(100-$E$25),$E$20*$O$155*$E$24*(100-$E$19)/(100-$E$25)))))</f>
        <v>0</v>
      </c>
      <c r="E35" s="63">
        <f t="shared" si="0"/>
        <v>0</v>
      </c>
      <c r="F35" s="64">
        <f t="shared" si="1"/>
        <v>0</v>
      </c>
      <c r="M35" s="39"/>
      <c r="N35" s="70"/>
      <c r="O35" s="71"/>
      <c r="P35" s="71"/>
      <c r="Q35" s="71"/>
      <c r="R35" s="71"/>
      <c r="S35" s="71"/>
      <c r="T35" s="39"/>
      <c r="U35" s="70"/>
      <c r="V35" s="71"/>
      <c r="W35" s="71"/>
      <c r="X35" s="71"/>
      <c r="Y35" s="71"/>
      <c r="Z35" s="71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43"/>
      <c r="AV35" s="48"/>
      <c r="AW35" s="48"/>
      <c r="AX35" s="48"/>
      <c r="AY35" s="39"/>
    </row>
    <row r="36" spans="1:51" ht="3.75" customHeight="1">
      <c r="M36" s="39"/>
      <c r="N36" s="39"/>
      <c r="O36" s="65"/>
      <c r="P36" s="65"/>
      <c r="Q36" s="65"/>
      <c r="R36" s="65"/>
      <c r="S36" s="65"/>
      <c r="T36" s="72"/>
      <c r="U36" s="72"/>
      <c r="V36" s="67"/>
      <c r="Y36" s="6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43"/>
      <c r="AV36" s="48"/>
      <c r="AW36" s="48"/>
      <c r="AX36" s="48"/>
      <c r="AY36" s="39"/>
    </row>
    <row r="37" spans="1:51" ht="16.5" customHeight="1">
      <c r="A37" s="52" t="s">
        <v>363</v>
      </c>
      <c r="M37" s="39"/>
      <c r="N37" s="39"/>
      <c r="O37" s="39"/>
      <c r="P37" s="69"/>
      <c r="Q37" s="69"/>
      <c r="R37" s="69"/>
      <c r="S37" s="69"/>
      <c r="T37" s="39"/>
      <c r="U37" s="39"/>
      <c r="V37" s="39"/>
      <c r="W37" s="67"/>
      <c r="X37" s="68"/>
      <c r="Y37" s="6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43"/>
      <c r="AV37" s="48"/>
      <c r="AW37" s="48"/>
      <c r="AX37" s="48"/>
      <c r="AY37" s="39"/>
    </row>
    <row r="38" spans="1:51" ht="3" customHeight="1"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43"/>
      <c r="AV38" s="48"/>
      <c r="AW38" s="48"/>
      <c r="AX38" s="48"/>
      <c r="AY38" s="39"/>
    </row>
    <row r="39" spans="1:51">
      <c r="A39" s="253" t="s">
        <v>167</v>
      </c>
      <c r="B39" s="253"/>
      <c r="C39" s="253" t="s">
        <v>168</v>
      </c>
      <c r="D39" s="253"/>
      <c r="E39" s="253" t="s">
        <v>112</v>
      </c>
      <c r="F39" s="253"/>
      <c r="M39" s="39"/>
      <c r="N39" s="73"/>
      <c r="O39" s="74"/>
      <c r="P39" s="74"/>
      <c r="Q39" s="74"/>
      <c r="R39" s="74"/>
      <c r="S39" s="74"/>
      <c r="U39" s="73"/>
      <c r="V39" s="74"/>
      <c r="W39" s="74"/>
      <c r="X39" s="74"/>
      <c r="Y39" s="74"/>
      <c r="Z39" s="74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43"/>
      <c r="AV39" s="48"/>
      <c r="AW39" s="48"/>
      <c r="AX39" s="48"/>
      <c r="AY39" s="39"/>
    </row>
    <row r="40" spans="1:51" ht="45" customHeight="1">
      <c r="A40" s="264" t="s">
        <v>171</v>
      </c>
      <c r="B40" s="265"/>
      <c r="C40" s="272"/>
      <c r="D40" s="273"/>
      <c r="E40" s="272"/>
      <c r="F40" s="272"/>
      <c r="M40" s="39"/>
      <c r="N40" s="74"/>
      <c r="O40" s="74"/>
      <c r="P40" s="74"/>
      <c r="Q40" s="74"/>
      <c r="R40" s="74"/>
      <c r="S40" s="74"/>
      <c r="U40" s="74"/>
      <c r="V40" s="74"/>
      <c r="W40" s="74"/>
      <c r="X40" s="74"/>
      <c r="Y40" s="74"/>
      <c r="Z40" s="74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43"/>
      <c r="AV40" s="48"/>
      <c r="AW40" s="48"/>
      <c r="AX40" s="48"/>
      <c r="AY40" s="39"/>
    </row>
    <row r="41" spans="1:51" ht="23.25" customHeight="1">
      <c r="A41" s="264" t="s">
        <v>192</v>
      </c>
      <c r="B41" s="265"/>
      <c r="C41" s="266"/>
      <c r="D41" s="267"/>
      <c r="E41" s="268"/>
      <c r="F41" s="269"/>
      <c r="M41" s="39"/>
      <c r="N41" s="74"/>
      <c r="O41" s="74"/>
      <c r="P41" s="74"/>
      <c r="Q41" s="74"/>
      <c r="R41" s="74"/>
      <c r="S41" s="74"/>
      <c r="U41" s="74"/>
      <c r="V41" s="74"/>
      <c r="W41" s="74"/>
      <c r="X41" s="74"/>
      <c r="Y41" s="74"/>
      <c r="Z41" s="74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43"/>
      <c r="AV41" s="48"/>
      <c r="AW41" s="48"/>
      <c r="AX41" s="48"/>
      <c r="AY41" s="39"/>
    </row>
    <row r="42" spans="1:51">
      <c r="A42" s="53" t="s">
        <v>287</v>
      </c>
      <c r="B42" s="53"/>
      <c r="C42" s="75" t="e">
        <f>IF(D42=U201,VLOOKUP(H223,KOBIZE!T7:X57,3),IF(D42=V201,VLOOKUP(H223,KOBIZE!T7:X57,4),"N/d"))</f>
        <v>#N/A</v>
      </c>
      <c r="D42" s="76" t="str">
        <f>IF(C41=O209,V201,IF(C41=O210,V201,IF(C41=O211,V201,IF(C41=O231,V201,IF(C41=O232,V201,IF(C41=H202,"N/d",U201))))))</f>
        <v>MJ/kg</v>
      </c>
      <c r="E42" s="77" t="e">
        <f>IF(F42=U201,VLOOKUP(J223,KOBIZE!T7:X57,3),IF(F42=V201,VLOOKUP(J223,KOBIZE!T7:X57,4),"N/d"))</f>
        <v>#N/A</v>
      </c>
      <c r="F42" s="78" t="str">
        <f>IF(E41=O209,V201,IF(E41=O210,V201,IF(E41=O211,V201,IF(E41=O231,V201,IF(E41=O232,V201,IF(E41=H202,"N/d",U201))))))</f>
        <v>MJ/kg</v>
      </c>
      <c r="M42" s="39"/>
      <c r="N42" s="74"/>
      <c r="O42" s="74"/>
      <c r="P42" s="74"/>
      <c r="Q42" s="74"/>
      <c r="R42" s="74"/>
      <c r="S42" s="74"/>
      <c r="U42" s="74"/>
      <c r="V42" s="74"/>
      <c r="W42" s="74"/>
      <c r="X42" s="74"/>
      <c r="Y42" s="74"/>
      <c r="Z42" s="74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43"/>
      <c r="AV42" s="48"/>
      <c r="AW42" s="48"/>
      <c r="AX42" s="48"/>
      <c r="AY42" s="39"/>
    </row>
    <row r="43" spans="1:51">
      <c r="A43" s="53" t="s">
        <v>170</v>
      </c>
      <c r="B43" s="53"/>
      <c r="C43" s="79">
        <f>IF(C41=H202,"N/d",IF(D20="mln m3",C20*10^6,IF(D20="m3",C20*E203,IF(D20="ton (Mg)",C20*1000))))</f>
        <v>0</v>
      </c>
      <c r="D43" s="80" t="str">
        <f>IF(D42=U201,"kg/rok",IF(D42=V201,"m3/rok","N/d"))</f>
        <v>kg/rok</v>
      </c>
      <c r="E43" s="79">
        <f>IF(E41=I202,"N/d",IF(F20="mln m3",E20*10^6,IF(F20="m3",E20*E203,IF(F20="ton (Mg)",E20*1000))))</f>
        <v>0</v>
      </c>
      <c r="F43" s="78" t="str">
        <f>IF(F42=U201,"kg/rok",IF(F42=V201,"m3/rok","N/d"))</f>
        <v>kg/rok</v>
      </c>
      <c r="M43" s="39"/>
      <c r="N43" s="74"/>
      <c r="O43" s="74"/>
      <c r="P43" s="74"/>
      <c r="Q43" s="74"/>
      <c r="R43" s="74"/>
      <c r="S43" s="74"/>
      <c r="T43" s="39"/>
      <c r="U43" s="74"/>
      <c r="V43" s="74"/>
      <c r="W43" s="74"/>
      <c r="X43" s="74"/>
      <c r="Y43" s="74"/>
      <c r="Z43" s="74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43"/>
      <c r="AV43" s="48"/>
      <c r="AW43" s="48"/>
      <c r="AX43" s="48"/>
      <c r="AY43" s="39"/>
    </row>
    <row r="44" spans="1:51" ht="26.1" customHeight="1">
      <c r="A44" s="281" t="s">
        <v>197</v>
      </c>
      <c r="B44" s="282"/>
      <c r="C44" s="283" t="e">
        <f>IF(C42&lt;&gt;"N/d",((C42*C43)/1000),"N/d")</f>
        <v>#N/A</v>
      </c>
      <c r="D44" s="284"/>
      <c r="E44" s="285" t="e">
        <f>IF(E42&lt;&gt;"N/d",((E42*E43)/1000),"N/d")</f>
        <v>#N/A</v>
      </c>
      <c r="F44" s="286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43"/>
      <c r="AV44" s="48"/>
      <c r="AW44" s="48"/>
      <c r="AX44" s="48"/>
      <c r="AY44" s="39"/>
    </row>
    <row r="45" spans="1:51" ht="17.25" customHeight="1">
      <c r="A45" s="287" t="s">
        <v>198</v>
      </c>
      <c r="B45" s="288"/>
      <c r="C45" s="289" t="e">
        <f>IF(C42&lt;&gt;"N/d",VLOOKUP(H223,KOBIZE!T7:X57,5),"N/d")</f>
        <v>#N/A</v>
      </c>
      <c r="D45" s="253"/>
      <c r="E45" s="289" t="e">
        <f>IF(E42&lt;&gt;"N/d",VLOOKUP(J223,KOBIZE!T7:X57,5),"N/d")</f>
        <v>#N/A</v>
      </c>
      <c r="F45" s="253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43"/>
      <c r="AV45" s="48"/>
      <c r="AW45" s="48"/>
      <c r="AX45" s="48"/>
      <c r="AY45" s="39"/>
    </row>
    <row r="46" spans="1:51" ht="3.75" customHeight="1"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43"/>
      <c r="AV46" s="48"/>
      <c r="AW46" s="48"/>
      <c r="AX46" s="48"/>
      <c r="AY46" s="39"/>
    </row>
    <row r="47" spans="1:51">
      <c r="A47" s="263" t="s">
        <v>109</v>
      </c>
      <c r="B47" s="263"/>
      <c r="C47" s="253" t="s">
        <v>110</v>
      </c>
      <c r="D47" s="253"/>
      <c r="E47" s="253" t="s">
        <v>111</v>
      </c>
      <c r="F47" s="253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66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43"/>
      <c r="AV47" s="48"/>
      <c r="AW47" s="48"/>
      <c r="AX47" s="48"/>
      <c r="AY47" s="39"/>
    </row>
    <row r="48" spans="1:51">
      <c r="A48" s="263"/>
      <c r="B48" s="263"/>
      <c r="C48" s="54" t="s">
        <v>115</v>
      </c>
      <c r="D48" s="54" t="s">
        <v>112</v>
      </c>
      <c r="E48" s="54" t="s">
        <v>113</v>
      </c>
      <c r="F48" s="54" t="s">
        <v>114</v>
      </c>
      <c r="K48" s="82"/>
      <c r="M48" s="83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66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43"/>
      <c r="AV48" s="48"/>
      <c r="AW48" s="48"/>
      <c r="AX48" s="48"/>
      <c r="AY48" s="39"/>
    </row>
    <row r="49" spans="1:51">
      <c r="A49" s="274">
        <v>1</v>
      </c>
      <c r="B49" s="275"/>
      <c r="C49" s="54">
        <v>2</v>
      </c>
      <c r="D49" s="54">
        <v>3</v>
      </c>
      <c r="E49" s="54">
        <v>4</v>
      </c>
      <c r="F49" s="54">
        <v>5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43"/>
      <c r="AV49" s="48"/>
      <c r="AW49" s="48"/>
      <c r="AX49" s="48"/>
      <c r="AY49" s="39"/>
    </row>
    <row r="50" spans="1:51" ht="14.25" customHeight="1">
      <c r="A50" s="264" t="s">
        <v>364</v>
      </c>
      <c r="B50" s="265"/>
      <c r="C50" s="84" t="e">
        <f>IF(C44&lt;&gt;"N/d",C44*C45,"N/d")</f>
        <v>#N/A</v>
      </c>
      <c r="D50" s="84" t="e">
        <f>IF(E44&lt;&gt;"N/d",E44*E45,"0")</f>
        <v>#N/A</v>
      </c>
      <c r="E50" s="85" t="e">
        <f>IF(C50&lt;&gt;"N/d",C50-D50,"N/d")</f>
        <v>#N/A</v>
      </c>
      <c r="F50" s="81" t="e">
        <f>IF(C50&lt;&gt;"N/d",(E50/C50)*100,"N/d")</f>
        <v>#N/A</v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</row>
    <row r="51" spans="1:51"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</row>
    <row r="52" spans="1:51"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</row>
    <row r="53" spans="1:51"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</row>
    <row r="54" spans="1:51" ht="8.25" customHeight="1"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</row>
    <row r="55" spans="1:51" ht="13.5" customHeight="1">
      <c r="D55" s="280" t="s">
        <v>399</v>
      </c>
      <c r="E55" s="280"/>
      <c r="F55" s="280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</row>
    <row r="56" spans="1:51" ht="15">
      <c r="A56" s="43"/>
      <c r="B56" s="86">
        <f ca="1">TODAY()</f>
        <v>44937</v>
      </c>
      <c r="C56" s="43"/>
      <c r="D56" s="278" t="s">
        <v>333</v>
      </c>
      <c r="E56" s="278"/>
      <c r="F56" s="278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</row>
    <row r="57" spans="1:51">
      <c r="B57" s="87" t="s">
        <v>180</v>
      </c>
      <c r="D57" s="279"/>
      <c r="E57" s="279"/>
      <c r="F57" s="279"/>
      <c r="I57" s="66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</row>
    <row r="58" spans="1:51" ht="60" customHeight="1">
      <c r="A58" s="276" t="s">
        <v>397</v>
      </c>
      <c r="B58" s="277"/>
      <c r="C58" s="277"/>
      <c r="D58" s="277"/>
      <c r="E58" s="277"/>
      <c r="F58" s="277"/>
      <c r="M58" s="89"/>
    </row>
    <row r="62" spans="1:51">
      <c r="I62" s="66"/>
    </row>
    <row r="65" spans="1:6">
      <c r="A65" s="51"/>
    </row>
    <row r="66" spans="1:6">
      <c r="A66" s="51"/>
      <c r="B66" s="43"/>
      <c r="C66" s="43"/>
      <c r="D66" s="43"/>
      <c r="E66" s="43"/>
      <c r="F66" s="43"/>
    </row>
    <row r="67" spans="1:6">
      <c r="A67" s="51"/>
      <c r="B67" s="43"/>
      <c r="D67" s="43"/>
      <c r="E67" s="43"/>
      <c r="F67" s="43"/>
    </row>
    <row r="68" spans="1:6">
      <c r="A68" s="51"/>
      <c r="B68" s="43"/>
      <c r="C68" s="43"/>
      <c r="D68" s="43"/>
      <c r="E68" s="43"/>
      <c r="F68" s="43"/>
    </row>
    <row r="69" spans="1:6">
      <c r="A69" s="51"/>
      <c r="B69" s="43"/>
      <c r="C69" s="43"/>
      <c r="D69" s="43"/>
      <c r="E69" s="43"/>
      <c r="F69" s="43"/>
    </row>
    <row r="70" spans="1:6">
      <c r="A70" s="51"/>
      <c r="F70" s="43"/>
    </row>
    <row r="71" spans="1:6">
      <c r="A71" s="51"/>
      <c r="B71" s="43"/>
      <c r="C71" s="43"/>
      <c r="D71" s="43"/>
      <c r="E71" s="43"/>
      <c r="F71" s="43"/>
    </row>
    <row r="72" spans="1:6">
      <c r="A72" s="51"/>
      <c r="B72" s="43"/>
      <c r="C72" s="43"/>
      <c r="D72" s="43"/>
      <c r="E72" s="43"/>
      <c r="F72" s="43"/>
    </row>
    <row r="73" spans="1:6">
      <c r="A73" s="51"/>
      <c r="B73" s="43"/>
      <c r="C73" s="43"/>
      <c r="D73" s="43"/>
      <c r="E73" s="43"/>
      <c r="F73" s="43"/>
    </row>
    <row r="74" spans="1:6">
      <c r="A74" s="51"/>
      <c r="B74" s="43"/>
      <c r="C74" s="43"/>
      <c r="D74" s="43"/>
      <c r="E74" s="43"/>
      <c r="F74" s="43"/>
    </row>
    <row r="75" spans="1:6">
      <c r="A75" s="51"/>
      <c r="B75" s="43"/>
      <c r="C75" s="43"/>
      <c r="D75" s="43"/>
      <c r="E75" s="43"/>
      <c r="F75" s="43"/>
    </row>
    <row r="76" spans="1:6">
      <c r="A76" s="51"/>
      <c r="B76" s="43"/>
      <c r="C76" s="43"/>
      <c r="D76" s="43"/>
      <c r="E76" s="43"/>
      <c r="F76" s="43"/>
    </row>
    <row r="77" spans="1:6">
      <c r="A77" s="51"/>
      <c r="B77" s="43"/>
      <c r="C77" s="43"/>
      <c r="D77" s="43"/>
      <c r="E77" s="43"/>
      <c r="F77" s="43"/>
    </row>
    <row r="78" spans="1:6">
      <c r="A78" s="51"/>
      <c r="B78" s="43"/>
      <c r="C78" s="43"/>
      <c r="D78" s="43"/>
      <c r="E78" s="43"/>
      <c r="F78" s="43"/>
    </row>
    <row r="79" spans="1:6">
      <c r="A79" s="51"/>
      <c r="B79" s="43"/>
      <c r="C79" s="43"/>
      <c r="D79" s="43"/>
      <c r="E79" s="43"/>
      <c r="F79" s="43"/>
    </row>
    <row r="80" spans="1:6">
      <c r="A80" s="43"/>
      <c r="B80" s="43"/>
      <c r="C80" s="43"/>
      <c r="D80" s="43"/>
      <c r="E80" s="43"/>
      <c r="F80" s="43"/>
    </row>
    <row r="84" spans="1:6">
      <c r="D84" s="51"/>
      <c r="E84" s="51"/>
      <c r="F84" s="51"/>
    </row>
    <row r="85" spans="1:6" ht="15">
      <c r="A85" s="250"/>
      <c r="B85" s="250"/>
      <c r="C85" s="90"/>
    </row>
    <row r="86" spans="1:6">
      <c r="A86" s="251"/>
      <c r="B86" s="251"/>
      <c r="C86" s="88"/>
      <c r="E86" s="51"/>
      <c r="F86" s="51"/>
    </row>
    <row r="87" spans="1:6">
      <c r="A87" s="43"/>
      <c r="B87" s="51"/>
      <c r="C87" s="51"/>
      <c r="D87" s="51"/>
      <c r="E87" s="51"/>
      <c r="F87" s="51"/>
    </row>
    <row r="98" spans="2:51" hidden="1"/>
    <row r="99" spans="2:51" hidden="1"/>
    <row r="100" spans="2:51" hidden="1">
      <c r="B100" s="252" t="s">
        <v>48</v>
      </c>
      <c r="C100" s="252"/>
      <c r="D100" s="252"/>
      <c r="E100" s="252"/>
      <c r="F100" s="252"/>
      <c r="G100" s="252"/>
      <c r="H100" s="252"/>
      <c r="I100" s="252"/>
      <c r="J100" s="252"/>
    </row>
    <row r="101" spans="2:51" hidden="1">
      <c r="B101" s="252"/>
      <c r="C101" s="252"/>
      <c r="D101" s="252"/>
      <c r="E101" s="252"/>
      <c r="F101" s="252"/>
      <c r="G101" s="252"/>
      <c r="H101" s="252"/>
      <c r="I101" s="252"/>
      <c r="J101" s="252"/>
    </row>
    <row r="102" spans="2:51" ht="18" hidden="1">
      <c r="B102" s="252" t="s">
        <v>175</v>
      </c>
      <c r="C102" s="252"/>
      <c r="D102" s="252"/>
      <c r="E102" s="91"/>
      <c r="F102" s="91"/>
      <c r="G102" s="91"/>
      <c r="H102" s="91"/>
      <c r="I102" s="91"/>
      <c r="J102" s="91"/>
    </row>
    <row r="103" spans="2:51" ht="15" hidden="1">
      <c r="B103" s="245"/>
      <c r="C103" s="245"/>
      <c r="D103" s="245"/>
      <c r="E103" s="245"/>
      <c r="F103" s="245"/>
      <c r="G103" s="245"/>
      <c r="H103" s="245"/>
      <c r="I103" s="245"/>
      <c r="J103" s="245"/>
      <c r="R103" s="38" t="s">
        <v>302</v>
      </c>
      <c r="T103" s="71" t="s">
        <v>29</v>
      </c>
    </row>
    <row r="104" spans="2:51" ht="18" hidden="1">
      <c r="B104" s="91"/>
      <c r="C104" s="91"/>
      <c r="D104" s="91"/>
      <c r="E104" s="91"/>
      <c r="F104" s="91"/>
      <c r="G104" s="91"/>
      <c r="H104" s="91"/>
      <c r="I104" s="91"/>
      <c r="J104" s="91"/>
      <c r="R104" s="38" t="s">
        <v>184</v>
      </c>
      <c r="T104" s="38" t="str">
        <f>IF(C11=$R$104,$R$114,IF(C11=$R$105,$R$115,IF(C11=$R$106,$R$117,IF(C11=$R$107,$R$116,IF(C11=$R$108,$R$119,IF(C11=$R$109,$R$113,IF(C11=$R$103,$R$121,"")))))))</f>
        <v/>
      </c>
    </row>
    <row r="105" spans="2:51" ht="20.25" hidden="1">
      <c r="B105" s="249" t="s">
        <v>29</v>
      </c>
      <c r="C105" s="249"/>
      <c r="D105" s="249"/>
      <c r="E105" s="249"/>
      <c r="F105" s="92"/>
      <c r="G105" s="249" t="s">
        <v>30</v>
      </c>
      <c r="H105" s="249"/>
      <c r="I105" s="249"/>
      <c r="J105" s="249"/>
      <c r="R105" s="38" t="s">
        <v>185</v>
      </c>
      <c r="T105" s="38" t="str">
        <f>IF(C11=R106,R118,"")</f>
        <v/>
      </c>
    </row>
    <row r="106" spans="2:51" ht="18" hidden="1">
      <c r="B106" s="91"/>
      <c r="C106" s="91"/>
      <c r="D106" s="91"/>
      <c r="E106" s="91"/>
      <c r="F106" s="92"/>
      <c r="G106" s="91"/>
      <c r="H106" s="91"/>
      <c r="I106" s="91"/>
      <c r="J106" s="91"/>
      <c r="R106" s="38" t="s">
        <v>187</v>
      </c>
    </row>
    <row r="107" spans="2:51" ht="18" hidden="1">
      <c r="B107" s="91"/>
      <c r="C107" s="91"/>
      <c r="D107" s="91"/>
      <c r="E107" s="91"/>
      <c r="F107" s="92"/>
      <c r="G107" s="91"/>
      <c r="H107" s="91"/>
      <c r="I107" s="91"/>
      <c r="J107" s="91"/>
      <c r="R107" s="38" t="s">
        <v>186</v>
      </c>
      <c r="T107" s="71" t="s">
        <v>30</v>
      </c>
    </row>
    <row r="108" spans="2:51" ht="18" hidden="1">
      <c r="B108" s="245" t="s">
        <v>176</v>
      </c>
      <c r="C108" s="245"/>
      <c r="D108" s="245"/>
      <c r="E108" s="245"/>
      <c r="F108" s="92"/>
      <c r="G108" s="245" t="s">
        <v>176</v>
      </c>
      <c r="H108" s="245"/>
      <c r="I108" s="245"/>
      <c r="J108" s="245"/>
      <c r="R108" s="38" t="s">
        <v>188</v>
      </c>
      <c r="T108" s="38" t="str">
        <f>IF(E11=$R$104,$R$114,IF(E11=$R$105,$R$115,IF(E11=$R$106,$R$117,IF(E11=$R$107,$R$116,IF(E11=$R$108,$R$119,IF(E11=$R$109,$R$113,IF(E11=$R$110,$R$120,IF(E11=$R$103,$R$121,""))))))))</f>
        <v/>
      </c>
    </row>
    <row r="109" spans="2:51" ht="18" hidden="1">
      <c r="B109" s="245"/>
      <c r="C109" s="245"/>
      <c r="D109" s="245"/>
      <c r="E109" s="245"/>
      <c r="F109" s="92"/>
      <c r="G109" s="246"/>
      <c r="H109" s="245"/>
      <c r="I109" s="245"/>
      <c r="J109" s="245"/>
      <c r="R109" s="38" t="s">
        <v>117</v>
      </c>
      <c r="T109" s="38" t="str">
        <f>IF(E11=R106,R118,"")</f>
        <v/>
      </c>
    </row>
    <row r="110" spans="2:51" ht="18" hidden="1">
      <c r="B110" s="91"/>
      <c r="C110" s="91"/>
      <c r="D110" s="91"/>
      <c r="E110" s="91"/>
      <c r="F110" s="92"/>
      <c r="G110" s="91"/>
      <c r="H110" s="91"/>
      <c r="I110" s="91"/>
      <c r="J110" s="91"/>
      <c r="R110" s="38" t="s">
        <v>278</v>
      </c>
    </row>
    <row r="111" spans="2:51" ht="18" hidden="1">
      <c r="B111" s="245" t="s">
        <v>181</v>
      </c>
      <c r="C111" s="245"/>
      <c r="D111" s="91"/>
      <c r="E111" s="91"/>
      <c r="F111" s="92"/>
      <c r="G111" s="245" t="s">
        <v>181</v>
      </c>
      <c r="H111" s="245"/>
      <c r="I111" s="91"/>
      <c r="J111" s="91"/>
    </row>
    <row r="112" spans="2:51" ht="25.5" hidden="1">
      <c r="B112" s="226"/>
      <c r="C112" s="226"/>
      <c r="D112" s="226"/>
      <c r="E112" s="247"/>
      <c r="F112" s="93"/>
      <c r="G112" s="248"/>
      <c r="H112" s="226"/>
      <c r="I112" s="226"/>
      <c r="J112" s="226"/>
      <c r="Q112" s="94"/>
      <c r="R112" s="95"/>
      <c r="AN112" s="96"/>
      <c r="AO112" s="97" t="s">
        <v>0</v>
      </c>
      <c r="AP112" s="98" t="s">
        <v>1</v>
      </c>
      <c r="AQ112" s="96"/>
      <c r="AR112" s="96"/>
      <c r="AS112" s="96"/>
      <c r="AT112" s="96"/>
      <c r="AU112" s="96"/>
      <c r="AV112" s="96"/>
      <c r="AW112" s="96"/>
      <c r="AX112" s="96"/>
      <c r="AY112" s="96"/>
    </row>
    <row r="113" spans="2:55" ht="20.25" hidden="1">
      <c r="F113" s="93"/>
      <c r="M113" s="99" t="s">
        <v>29</v>
      </c>
      <c r="O113" s="99" t="s">
        <v>30</v>
      </c>
      <c r="Q113" s="94">
        <v>1</v>
      </c>
      <c r="R113" s="95" t="s">
        <v>117</v>
      </c>
      <c r="AM113" s="100"/>
      <c r="AN113" s="101" t="s">
        <v>365</v>
      </c>
      <c r="AO113" s="101" t="s">
        <v>366</v>
      </c>
      <c r="AP113" s="102" t="s">
        <v>366</v>
      </c>
      <c r="AQ113" s="101" t="s">
        <v>367</v>
      </c>
      <c r="AR113" s="101" t="s">
        <v>4</v>
      </c>
      <c r="AS113" s="101" t="s">
        <v>5</v>
      </c>
      <c r="AT113" s="103"/>
      <c r="AU113" s="103"/>
      <c r="AV113" s="103"/>
      <c r="AW113" s="103"/>
      <c r="AX113" s="103"/>
      <c r="AY113" s="103"/>
    </row>
    <row r="114" spans="2:55" hidden="1">
      <c r="B114" s="242" t="s">
        <v>2</v>
      </c>
      <c r="C114" s="242"/>
      <c r="D114" s="242"/>
      <c r="E114" s="242"/>
      <c r="F114" s="93"/>
      <c r="G114" s="242" t="s">
        <v>2</v>
      </c>
      <c r="H114" s="242"/>
      <c r="I114" s="242"/>
      <c r="J114" s="242"/>
      <c r="Q114" s="94">
        <v>2</v>
      </c>
      <c r="R114" s="95" t="s">
        <v>144</v>
      </c>
      <c r="T114" s="94">
        <v>1</v>
      </c>
      <c r="U114" s="95" t="s">
        <v>3</v>
      </c>
      <c r="AM114" s="100">
        <v>0</v>
      </c>
      <c r="AN114" s="100">
        <v>0</v>
      </c>
      <c r="AO114" s="100">
        <v>0</v>
      </c>
      <c r="AP114" s="104">
        <v>0</v>
      </c>
      <c r="AQ114" s="100">
        <v>0</v>
      </c>
      <c r="AR114" s="100">
        <v>0</v>
      </c>
      <c r="AS114" s="100">
        <v>0</v>
      </c>
    </row>
    <row r="115" spans="2:55" ht="15" hidden="1" thickBot="1">
      <c r="F115" s="93"/>
      <c r="M115" s="38">
        <f>IF($C$13=$R$114,$Q$114,IF($C$13=$R$115,$Q$115,IF($C$13=$R$116,$Q$116,IF($C$13=$R$117,$Q$117,IF($C$13=$R$118,$Q$118,IF($C$13=$R$119,$Q$119,IF($C$13=$R$120,$Q$120,IF($C$13=$R$122,$Q$122,1))))))))</f>
        <v>0</v>
      </c>
      <c r="O115" s="38">
        <f>IF($E$13=$R$113,$Q$113,IF($E$13=$R$114,$Q$114,IF($E$13=$R$115,$Q$115,IF($E$13=$R$116,$Q$116,IF($E$13=$R$117,$Q$117,IF($E$13=$R$118,$Q$118,IF($E$13=$R$119,$Q$119,IF($E$13=$R$120,$Q$113,IF($E$13=$R$121,$Q$113,IF($E$13=$R$122,$Q$122,1))))))))))</f>
        <v>0</v>
      </c>
      <c r="Q115" s="94">
        <v>3</v>
      </c>
      <c r="R115" s="95" t="s">
        <v>15</v>
      </c>
      <c r="T115" s="94">
        <v>2</v>
      </c>
      <c r="U115" s="95" t="s">
        <v>6</v>
      </c>
      <c r="AK115" s="105" t="s">
        <v>152</v>
      </c>
      <c r="AL115" s="105"/>
      <c r="AM115" s="105">
        <v>100001</v>
      </c>
      <c r="AN115" s="106">
        <v>0</v>
      </c>
      <c r="AO115" s="106">
        <v>0</v>
      </c>
      <c r="AP115" s="107">
        <v>0</v>
      </c>
      <c r="AQ115" s="106">
        <v>0</v>
      </c>
      <c r="AR115" s="106">
        <v>0</v>
      </c>
      <c r="AS115" s="106">
        <v>0</v>
      </c>
      <c r="AT115" s="94"/>
      <c r="AV115" s="94"/>
      <c r="AW115" s="94"/>
      <c r="AX115" s="94"/>
      <c r="AZ115" s="95"/>
      <c r="BA115" s="108"/>
      <c r="BB115" s="108"/>
      <c r="BC115" s="95"/>
    </row>
    <row r="116" spans="2:55" hidden="1">
      <c r="B116" s="242"/>
      <c r="C116" s="242"/>
      <c r="D116" s="242"/>
      <c r="E116" s="242"/>
      <c r="F116" s="93"/>
      <c r="G116" s="242"/>
      <c r="H116" s="242"/>
      <c r="I116" s="242"/>
      <c r="J116" s="242"/>
      <c r="Q116" s="94">
        <v>4</v>
      </c>
      <c r="R116" s="95" t="s">
        <v>145</v>
      </c>
      <c r="AK116" s="227" t="s">
        <v>13</v>
      </c>
      <c r="AL116" s="109">
        <v>1</v>
      </c>
      <c r="AM116" s="109">
        <v>201001</v>
      </c>
      <c r="AN116" s="110">
        <v>17</v>
      </c>
      <c r="AO116" s="110">
        <v>4</v>
      </c>
      <c r="AP116" s="111"/>
      <c r="AQ116" s="111"/>
      <c r="AR116" s="110">
        <v>5</v>
      </c>
      <c r="AS116" s="110">
        <v>3</v>
      </c>
      <c r="AT116" s="94"/>
      <c r="AV116" s="94"/>
      <c r="AW116" s="94"/>
      <c r="AX116" s="94"/>
      <c r="AZ116" s="95"/>
      <c r="BA116" s="108"/>
      <c r="BB116" s="108"/>
      <c r="BC116" s="95"/>
    </row>
    <row r="117" spans="2:55" hidden="1">
      <c r="B117" s="242" t="s">
        <v>9</v>
      </c>
      <c r="C117" s="242"/>
      <c r="D117" s="242"/>
      <c r="E117" s="242"/>
      <c r="F117" s="93"/>
      <c r="G117" s="242" t="s">
        <v>9</v>
      </c>
      <c r="H117" s="242"/>
      <c r="I117" s="242"/>
      <c r="J117" s="242"/>
      <c r="Q117" s="94">
        <v>5</v>
      </c>
      <c r="R117" s="95" t="s">
        <v>149</v>
      </c>
      <c r="T117" s="94">
        <v>1</v>
      </c>
      <c r="U117" s="95" t="s">
        <v>10</v>
      </c>
      <c r="AK117" s="228"/>
      <c r="AL117" s="100">
        <v>2</v>
      </c>
      <c r="AM117" s="100">
        <v>201002</v>
      </c>
      <c r="AN117" s="112">
        <v>16</v>
      </c>
      <c r="AO117" s="112">
        <v>4</v>
      </c>
      <c r="AP117" s="113"/>
      <c r="AQ117" s="113"/>
      <c r="AR117" s="112">
        <v>10</v>
      </c>
      <c r="AS117" s="112">
        <v>2.5</v>
      </c>
      <c r="AT117" s="94"/>
      <c r="AV117" s="94"/>
      <c r="AW117" s="94"/>
      <c r="AX117" s="94"/>
      <c r="AZ117" s="95"/>
      <c r="BA117" s="108"/>
      <c r="BB117" s="108"/>
      <c r="BC117" s="95"/>
    </row>
    <row r="118" spans="2:55" hidden="1">
      <c r="F118" s="93"/>
      <c r="M118" s="38">
        <f>IF($C$15=$R$125,$Q$125,IF($C$15=$R$126,$Q$126,0))</f>
        <v>0</v>
      </c>
      <c r="O118" s="38">
        <f>IF($E$15=$R$125,$Q$125,IF($E$15=$R$126,$Q$126,0))</f>
        <v>0</v>
      </c>
      <c r="Q118" s="94">
        <v>6</v>
      </c>
      <c r="R118" s="95" t="s">
        <v>150</v>
      </c>
      <c r="T118" s="94">
        <v>2</v>
      </c>
      <c r="U118" s="95" t="s">
        <v>147</v>
      </c>
      <c r="AK118" s="228"/>
      <c r="AL118" s="100">
        <v>3</v>
      </c>
      <c r="AM118" s="100">
        <v>201003</v>
      </c>
      <c r="AN118" s="112">
        <v>16</v>
      </c>
      <c r="AO118" s="112">
        <v>4</v>
      </c>
      <c r="AP118" s="113"/>
      <c r="AQ118" s="113"/>
      <c r="AR118" s="112">
        <v>20</v>
      </c>
      <c r="AS118" s="112">
        <v>2</v>
      </c>
      <c r="AT118" s="94"/>
      <c r="AV118" s="94"/>
      <c r="AW118" s="94"/>
      <c r="AX118" s="94"/>
      <c r="AZ118" s="95"/>
      <c r="BA118" s="108"/>
      <c r="BB118" s="108"/>
      <c r="BC118" s="95"/>
    </row>
    <row r="119" spans="2:55" hidden="1">
      <c r="B119" s="242"/>
      <c r="C119" s="242"/>
      <c r="D119" s="242"/>
      <c r="E119" s="242"/>
      <c r="F119" s="93"/>
      <c r="G119" s="242"/>
      <c r="H119" s="242"/>
      <c r="I119" s="242"/>
      <c r="J119" s="242"/>
      <c r="Q119" s="94">
        <v>7</v>
      </c>
      <c r="R119" s="95" t="s">
        <v>146</v>
      </c>
      <c r="AK119" s="228"/>
      <c r="AL119" s="100">
        <v>4</v>
      </c>
      <c r="AM119" s="100">
        <v>202111</v>
      </c>
      <c r="AN119" s="112">
        <v>16</v>
      </c>
      <c r="AO119" s="112">
        <v>1</v>
      </c>
      <c r="AP119" s="113"/>
      <c r="AQ119" s="113"/>
      <c r="AR119" s="112">
        <v>45</v>
      </c>
      <c r="AS119" s="112">
        <v>1.5</v>
      </c>
      <c r="AT119" s="94"/>
      <c r="AV119" s="94"/>
      <c r="AW119" s="94"/>
      <c r="AX119" s="94"/>
      <c r="AZ119" s="95"/>
      <c r="BA119" s="108"/>
      <c r="BB119" s="108"/>
      <c r="BC119" s="95"/>
    </row>
    <row r="120" spans="2:55" hidden="1">
      <c r="B120" s="242" t="s">
        <v>25</v>
      </c>
      <c r="C120" s="242"/>
      <c r="D120" s="242"/>
      <c r="E120" s="242"/>
      <c r="F120" s="93"/>
      <c r="G120" s="242" t="s">
        <v>25</v>
      </c>
      <c r="H120" s="242"/>
      <c r="I120" s="242"/>
      <c r="J120" s="242"/>
      <c r="Q120" s="94">
        <v>8</v>
      </c>
      <c r="R120" s="95" t="s">
        <v>278</v>
      </c>
      <c r="T120" s="94">
        <v>1</v>
      </c>
      <c r="U120" s="95" t="s">
        <v>14</v>
      </c>
      <c r="AK120" s="228"/>
      <c r="AL120" s="100">
        <v>5</v>
      </c>
      <c r="AM120" s="100">
        <v>202112</v>
      </c>
      <c r="AN120" s="112">
        <v>16</v>
      </c>
      <c r="AO120" s="112">
        <v>1</v>
      </c>
      <c r="AP120" s="113"/>
      <c r="AQ120" s="113"/>
      <c r="AR120" s="112">
        <v>45</v>
      </c>
      <c r="AS120" s="112">
        <v>1.5</v>
      </c>
      <c r="AT120" s="94"/>
      <c r="AV120" s="94"/>
      <c r="AW120" s="94"/>
      <c r="AX120" s="94"/>
      <c r="AZ120" s="95"/>
      <c r="BA120" s="108"/>
      <c r="BB120" s="108"/>
      <c r="BC120" s="95"/>
    </row>
    <row r="121" spans="2:55" hidden="1">
      <c r="F121" s="93"/>
      <c r="M121" s="38">
        <f>IF($C$14=$U$114,$T$114,IF($C$14=$U$115,$T$115,0))</f>
        <v>0</v>
      </c>
      <c r="O121" s="38">
        <f>IF($E$14=$U$114,$T$114,IF($E$14=$U$115,$T$115,0))</f>
        <v>0</v>
      </c>
      <c r="Q121" s="94">
        <v>9</v>
      </c>
      <c r="R121" s="95" t="s">
        <v>302</v>
      </c>
      <c r="T121" s="94">
        <v>2</v>
      </c>
      <c r="U121" s="95" t="s">
        <v>16</v>
      </c>
      <c r="AK121" s="228"/>
      <c r="AL121" s="100">
        <v>6</v>
      </c>
      <c r="AM121" s="100">
        <v>202121</v>
      </c>
      <c r="AN121" s="112">
        <v>16</v>
      </c>
      <c r="AO121" s="112">
        <v>1.5</v>
      </c>
      <c r="AP121" s="113"/>
      <c r="AQ121" s="113"/>
      <c r="AR121" s="112">
        <v>45</v>
      </c>
      <c r="AS121" s="112">
        <v>2</v>
      </c>
      <c r="AT121" s="94"/>
      <c r="AV121" s="94"/>
      <c r="AW121" s="94"/>
      <c r="AX121" s="94"/>
      <c r="AZ121" s="95"/>
      <c r="BA121" s="108"/>
      <c r="BB121" s="108"/>
      <c r="BC121" s="95"/>
    </row>
    <row r="122" spans="2:55" hidden="1">
      <c r="B122" s="242"/>
      <c r="C122" s="242"/>
      <c r="D122" s="242"/>
      <c r="E122" s="242"/>
      <c r="F122" s="93"/>
      <c r="G122" s="242"/>
      <c r="H122" s="242"/>
      <c r="I122" s="242"/>
      <c r="J122" s="242"/>
      <c r="M122" s="38">
        <f>M115*1000+M118*100+M121*10</f>
        <v>0</v>
      </c>
      <c r="O122" s="38">
        <f>O115*1000+O118*100+O121*10</f>
        <v>0</v>
      </c>
      <c r="Q122" s="94"/>
      <c r="R122" s="95"/>
      <c r="AK122" s="228"/>
      <c r="AL122" s="100">
        <v>7</v>
      </c>
      <c r="AM122" s="100">
        <v>202122</v>
      </c>
      <c r="AN122" s="112">
        <v>16</v>
      </c>
      <c r="AO122" s="112">
        <v>1.5</v>
      </c>
      <c r="AP122" s="113"/>
      <c r="AQ122" s="113"/>
      <c r="AR122" s="112">
        <v>45</v>
      </c>
      <c r="AS122" s="112">
        <v>2</v>
      </c>
      <c r="AT122" s="94"/>
      <c r="AV122" s="94"/>
      <c r="AW122" s="94"/>
      <c r="AX122" s="94"/>
      <c r="AZ122" s="95"/>
      <c r="BA122" s="108"/>
      <c r="BB122" s="108"/>
      <c r="BC122" s="95"/>
    </row>
    <row r="123" spans="2:55" hidden="1">
      <c r="B123" s="242" t="s">
        <v>26</v>
      </c>
      <c r="C123" s="242"/>
      <c r="D123" s="242"/>
      <c r="E123" s="242"/>
      <c r="F123" s="93"/>
      <c r="G123" s="242" t="s">
        <v>26</v>
      </c>
      <c r="H123" s="242"/>
      <c r="I123" s="242"/>
      <c r="J123" s="242"/>
      <c r="Q123" s="94"/>
      <c r="T123" s="94">
        <v>1</v>
      </c>
      <c r="U123" s="95" t="s">
        <v>17</v>
      </c>
      <c r="AK123" s="228"/>
      <c r="AL123" s="100">
        <v>8</v>
      </c>
      <c r="AM123" s="100">
        <v>202211</v>
      </c>
      <c r="AN123" s="112">
        <v>16</v>
      </c>
      <c r="AO123" s="112">
        <v>1</v>
      </c>
      <c r="AP123" s="113"/>
      <c r="AQ123" s="113"/>
      <c r="AR123" s="112">
        <v>100</v>
      </c>
      <c r="AS123" s="112">
        <v>1.5</v>
      </c>
      <c r="AT123" s="94"/>
      <c r="AV123" s="94"/>
      <c r="AW123" s="94"/>
      <c r="AX123" s="94"/>
      <c r="AZ123" s="95"/>
      <c r="BA123" s="108"/>
      <c r="BB123" s="108"/>
      <c r="BC123" s="95"/>
    </row>
    <row r="124" spans="2:55" ht="15" hidden="1" thickBot="1">
      <c r="F124" s="93"/>
      <c r="M124" s="38">
        <f>IF($C$16=$U$117,$T$117,IF($C$16=$U$118,$T$118,0))</f>
        <v>0</v>
      </c>
      <c r="O124" s="38">
        <f>IF($E$16=$U$117,$T$117,IF($E$16=$U$118,$T$118,0))</f>
        <v>0</v>
      </c>
      <c r="Q124" s="94"/>
      <c r="T124" s="94">
        <v>2</v>
      </c>
      <c r="U124" s="95" t="s">
        <v>18</v>
      </c>
      <c r="AK124" s="229"/>
      <c r="AL124" s="105">
        <v>9</v>
      </c>
      <c r="AM124" s="105">
        <v>202221</v>
      </c>
      <c r="AN124" s="106">
        <v>16</v>
      </c>
      <c r="AO124" s="106">
        <v>1.5</v>
      </c>
      <c r="AP124" s="107"/>
      <c r="AQ124" s="107"/>
      <c r="AR124" s="106">
        <v>100</v>
      </c>
      <c r="AS124" s="106">
        <v>2</v>
      </c>
      <c r="AT124" s="94"/>
      <c r="AV124" s="94"/>
      <c r="AW124" s="94"/>
      <c r="AX124" s="94"/>
      <c r="AZ124" s="95"/>
      <c r="BA124" s="108"/>
      <c r="BB124" s="108"/>
      <c r="BC124" s="95"/>
    </row>
    <row r="125" spans="2:55" hidden="1">
      <c r="B125" s="242"/>
      <c r="C125" s="242"/>
      <c r="D125" s="242"/>
      <c r="E125" s="242"/>
      <c r="F125" s="93"/>
      <c r="G125" s="242"/>
      <c r="H125" s="242"/>
      <c r="I125" s="242"/>
      <c r="J125" s="242"/>
      <c r="Q125" s="94">
        <v>1</v>
      </c>
      <c r="R125" s="95" t="s">
        <v>116</v>
      </c>
      <c r="T125" s="94">
        <v>0</v>
      </c>
      <c r="U125" s="95" t="s">
        <v>19</v>
      </c>
      <c r="AK125" s="227" t="s">
        <v>15</v>
      </c>
      <c r="AL125" s="109">
        <v>1</v>
      </c>
      <c r="AM125" s="109">
        <v>301001</v>
      </c>
      <c r="AN125" s="110" t="s">
        <v>159</v>
      </c>
      <c r="AO125" s="110" t="s">
        <v>159</v>
      </c>
      <c r="AP125" s="111"/>
      <c r="AQ125" s="111"/>
      <c r="AR125" s="110" t="s">
        <v>159</v>
      </c>
      <c r="AS125" s="110" t="s">
        <v>159</v>
      </c>
      <c r="AT125" s="94"/>
      <c r="AV125" s="94"/>
      <c r="AW125" s="94"/>
      <c r="AX125" s="94"/>
      <c r="AZ125" s="95"/>
      <c r="BA125" s="108"/>
      <c r="BB125" s="108"/>
      <c r="BC125" s="95"/>
    </row>
    <row r="126" spans="2:55" hidden="1">
      <c r="B126" s="242" t="s">
        <v>27</v>
      </c>
      <c r="C126" s="242"/>
      <c r="D126" s="242"/>
      <c r="E126" s="242"/>
      <c r="F126" s="93"/>
      <c r="G126" s="242" t="s">
        <v>27</v>
      </c>
      <c r="H126" s="242"/>
      <c r="I126" s="242"/>
      <c r="J126" s="242"/>
      <c r="Q126" s="94">
        <v>2</v>
      </c>
      <c r="R126" s="95" t="s">
        <v>20</v>
      </c>
      <c r="AK126" s="228"/>
      <c r="AL126" s="100">
        <v>2</v>
      </c>
      <c r="AM126" s="100">
        <v>301002</v>
      </c>
      <c r="AN126" s="112" t="s">
        <v>159</v>
      </c>
      <c r="AO126" s="112" t="s">
        <v>159</v>
      </c>
      <c r="AP126" s="113"/>
      <c r="AQ126" s="113"/>
      <c r="AR126" s="112" t="s">
        <v>159</v>
      </c>
      <c r="AS126" s="112" t="s">
        <v>159</v>
      </c>
      <c r="AT126" s="94"/>
      <c r="AV126" s="94"/>
      <c r="AW126" s="94"/>
      <c r="AX126" s="94"/>
      <c r="AZ126" s="95"/>
      <c r="BA126" s="108"/>
      <c r="BB126" s="108"/>
      <c r="BC126" s="95"/>
    </row>
    <row r="127" spans="2:55" hidden="1">
      <c r="F127" s="93"/>
      <c r="M127" s="38">
        <f>IF($C$17=$U$120,$T$120,IF($C$17=$U$121,$T$121,0))</f>
        <v>0</v>
      </c>
      <c r="O127" s="38">
        <f>IF($E$17=$U$120,$T$120,IF($E$17=$U$121,$T$121,0))</f>
        <v>0</v>
      </c>
      <c r="T127" s="94">
        <v>1</v>
      </c>
      <c r="U127" s="95" t="s">
        <v>21</v>
      </c>
      <c r="AK127" s="228"/>
      <c r="AL127" s="100">
        <v>3</v>
      </c>
      <c r="AM127" s="100">
        <v>301003</v>
      </c>
      <c r="AN127" s="112" t="s">
        <v>159</v>
      </c>
      <c r="AO127" s="112" t="s">
        <v>159</v>
      </c>
      <c r="AP127" s="104"/>
      <c r="AQ127" s="113"/>
      <c r="AR127" s="112" t="s">
        <v>159</v>
      </c>
      <c r="AS127" s="112" t="s">
        <v>159</v>
      </c>
      <c r="AT127" s="94"/>
      <c r="AU127" s="94"/>
      <c r="AV127" s="94"/>
      <c r="AW127" s="94"/>
      <c r="AX127" s="94"/>
      <c r="AZ127" s="95"/>
      <c r="BA127" s="108"/>
      <c r="BB127" s="108"/>
      <c r="BC127" s="95"/>
    </row>
    <row r="128" spans="2:55" hidden="1">
      <c r="B128" s="242"/>
      <c r="C128" s="242"/>
      <c r="D128" s="242"/>
      <c r="E128" s="242"/>
      <c r="F128" s="93"/>
      <c r="G128" s="242"/>
      <c r="H128" s="242"/>
      <c r="I128" s="242"/>
      <c r="J128" s="242"/>
      <c r="M128" s="38">
        <f>M115*10000+M118*1000+M121*100+M124*10+M127</f>
        <v>0</v>
      </c>
      <c r="O128" s="38">
        <f>O115*10000+O118*1000+O121*100+O124*10+O127</f>
        <v>0</v>
      </c>
      <c r="T128" s="94">
        <v>2</v>
      </c>
      <c r="U128" s="95" t="s">
        <v>22</v>
      </c>
      <c r="AK128" s="228"/>
      <c r="AL128" s="100">
        <v>4</v>
      </c>
      <c r="AM128" s="100">
        <v>302111</v>
      </c>
      <c r="AN128" s="112">
        <v>16</v>
      </c>
      <c r="AO128" s="112">
        <v>1.5</v>
      </c>
      <c r="AP128" s="113"/>
      <c r="AQ128" s="113"/>
      <c r="AR128" s="112">
        <v>25</v>
      </c>
      <c r="AS128" s="112">
        <v>1.5</v>
      </c>
      <c r="AT128" s="94"/>
      <c r="AV128" s="94"/>
      <c r="AW128" s="94"/>
      <c r="AX128" s="94"/>
      <c r="AZ128" s="95"/>
      <c r="BA128" s="108"/>
      <c r="BB128" s="108"/>
      <c r="BC128" s="95"/>
    </row>
    <row r="129" spans="2:55" hidden="1">
      <c r="B129" s="242" t="s">
        <v>28</v>
      </c>
      <c r="C129" s="242"/>
      <c r="D129" s="242"/>
      <c r="E129" s="242"/>
      <c r="F129" s="93"/>
      <c r="G129" s="242" t="s">
        <v>28</v>
      </c>
      <c r="H129" s="242"/>
      <c r="I129" s="242"/>
      <c r="J129" s="242"/>
      <c r="Q129" s="94">
        <v>1</v>
      </c>
      <c r="R129" s="95" t="s">
        <v>7</v>
      </c>
      <c r="T129" s="94">
        <v>3</v>
      </c>
      <c r="U129" s="95" t="s">
        <v>23</v>
      </c>
      <c r="AK129" s="228"/>
      <c r="AL129" s="100">
        <v>5</v>
      </c>
      <c r="AM129" s="100">
        <v>302112</v>
      </c>
      <c r="AN129" s="112">
        <v>16</v>
      </c>
      <c r="AO129" s="112">
        <v>1.5</v>
      </c>
      <c r="AP129" s="113"/>
      <c r="AQ129" s="113"/>
      <c r="AR129" s="112">
        <v>25</v>
      </c>
      <c r="AS129" s="112">
        <v>1.5</v>
      </c>
      <c r="AT129" s="94"/>
      <c r="AV129" s="94"/>
      <c r="AW129" s="94"/>
      <c r="AX129" s="94"/>
      <c r="AZ129" s="95"/>
      <c r="BA129" s="108"/>
      <c r="BB129" s="108"/>
      <c r="BC129" s="95"/>
    </row>
    <row r="130" spans="2:55" hidden="1">
      <c r="F130" s="93"/>
      <c r="M130" s="38">
        <f>IF($C$18=$R$141,$Q$141,IF($C$18=$R$142,$Q$142,IF($C$18=$R$143,$Q$143,$Q$144)))</f>
        <v>4</v>
      </c>
      <c r="O130" s="38">
        <f>IF($E$18=$R$150,$Q$150,IF($E$18=$R$151,$Q$151,IF($E$18=$R$152,$Q$152,$Q$153)))</f>
        <v>4</v>
      </c>
      <c r="Q130" s="94">
        <v>2</v>
      </c>
      <c r="R130" s="95" t="s">
        <v>8</v>
      </c>
      <c r="AK130" s="228"/>
      <c r="AL130" s="100">
        <v>6</v>
      </c>
      <c r="AM130" s="100">
        <v>302121</v>
      </c>
      <c r="AN130" s="112">
        <v>16</v>
      </c>
      <c r="AO130" s="112">
        <v>2</v>
      </c>
      <c r="AP130" s="113"/>
      <c r="AQ130" s="113"/>
      <c r="AR130" s="112">
        <v>25</v>
      </c>
      <c r="AS130" s="112">
        <v>2</v>
      </c>
      <c r="AT130" s="94"/>
      <c r="AV130" s="94"/>
      <c r="AW130" s="94"/>
      <c r="AX130" s="94"/>
      <c r="AZ130" s="95"/>
      <c r="BA130" s="108"/>
      <c r="BB130" s="108"/>
      <c r="BC130" s="95"/>
    </row>
    <row r="131" spans="2:55" hidden="1">
      <c r="F131" s="93"/>
      <c r="Q131" s="94">
        <v>3</v>
      </c>
      <c r="R131" s="95" t="s">
        <v>24</v>
      </c>
      <c r="T131" s="94"/>
      <c r="U131" s="95"/>
      <c r="AK131" s="228"/>
      <c r="AL131" s="100">
        <v>7</v>
      </c>
      <c r="AM131" s="100">
        <v>302122</v>
      </c>
      <c r="AN131" s="112">
        <v>16</v>
      </c>
      <c r="AO131" s="112">
        <v>2</v>
      </c>
      <c r="AP131" s="113"/>
      <c r="AQ131" s="113"/>
      <c r="AR131" s="112">
        <v>25</v>
      </c>
      <c r="AS131" s="112">
        <v>2</v>
      </c>
      <c r="AT131" s="94"/>
      <c r="AU131" s="94"/>
      <c r="AV131" s="94"/>
      <c r="AW131" s="94"/>
      <c r="AX131" s="94"/>
      <c r="AZ131" s="95"/>
      <c r="BA131" s="108"/>
      <c r="BB131" s="108"/>
      <c r="BC131" s="95"/>
    </row>
    <row r="132" spans="2:55" hidden="1">
      <c r="B132" s="242" t="s">
        <v>31</v>
      </c>
      <c r="C132" s="242"/>
      <c r="D132" s="242"/>
      <c r="E132" s="242"/>
      <c r="F132" s="93"/>
      <c r="G132" s="242" t="s">
        <v>43</v>
      </c>
      <c r="H132" s="242"/>
      <c r="I132" s="242"/>
      <c r="J132" s="242"/>
      <c r="M132" s="38">
        <f>M130+M127*10+M124*100+M121*1000+M118*10000+M115*100000</f>
        <v>4</v>
      </c>
      <c r="O132" s="38">
        <f>O130+O127*10+O124*100+O121*1000+O118*10000+O115*100000</f>
        <v>4</v>
      </c>
      <c r="Q132" s="94">
        <v>4</v>
      </c>
      <c r="R132" s="95" t="s">
        <v>205</v>
      </c>
      <c r="T132" s="94"/>
      <c r="U132" s="95"/>
      <c r="AK132" s="228"/>
      <c r="AL132" s="100">
        <v>8</v>
      </c>
      <c r="AM132" s="100">
        <v>302211</v>
      </c>
      <c r="AN132" s="112">
        <v>16</v>
      </c>
      <c r="AO132" s="112">
        <v>1.5</v>
      </c>
      <c r="AP132" s="113"/>
      <c r="AQ132" s="113"/>
      <c r="AR132" s="112">
        <v>25</v>
      </c>
      <c r="AS132" s="112">
        <v>1.5</v>
      </c>
      <c r="AT132" s="94"/>
      <c r="AU132" s="94"/>
      <c r="AV132" s="94"/>
      <c r="AW132" s="94"/>
      <c r="AX132" s="94"/>
      <c r="AZ132" s="95"/>
      <c r="BA132" s="108"/>
      <c r="BB132" s="108"/>
      <c r="BC132" s="95"/>
    </row>
    <row r="133" spans="2:55" ht="15" hidden="1" thickBot="1">
      <c r="B133" s="114" t="s">
        <v>32</v>
      </c>
      <c r="C133" s="244"/>
      <c r="D133" s="244"/>
      <c r="F133" s="93"/>
      <c r="G133" s="114" t="s">
        <v>32</v>
      </c>
      <c r="H133" s="244"/>
      <c r="I133" s="244"/>
      <c r="R133" s="95" t="s">
        <v>11</v>
      </c>
      <c r="AK133" s="229"/>
      <c r="AL133" s="105">
        <v>9</v>
      </c>
      <c r="AM133" s="105">
        <v>302221</v>
      </c>
      <c r="AN133" s="106">
        <v>16</v>
      </c>
      <c r="AO133" s="106">
        <v>2</v>
      </c>
      <c r="AP133" s="107"/>
      <c r="AQ133" s="107"/>
      <c r="AR133" s="106">
        <v>25</v>
      </c>
      <c r="AS133" s="106">
        <v>2</v>
      </c>
      <c r="AT133" s="94"/>
      <c r="AU133" s="94"/>
      <c r="AV133" s="94"/>
      <c r="AW133" s="94"/>
      <c r="AX133" s="94"/>
      <c r="AZ133" s="95"/>
      <c r="BA133" s="108"/>
      <c r="BB133" s="108"/>
      <c r="BC133" s="95"/>
    </row>
    <row r="134" spans="2:55" hidden="1">
      <c r="D134" s="38" t="str">
        <f>IF($M$115=4,C133/0.73/1000000," ")</f>
        <v xml:space="preserve"> </v>
      </c>
      <c r="E134" s="38" t="str">
        <f>IF($M$115=4,"mln m3"," ")</f>
        <v xml:space="preserve"> </v>
      </c>
      <c r="F134" s="93"/>
      <c r="I134" s="38" t="str">
        <f>IF($O$115=4,H133/0.73/1000000," ")</f>
        <v xml:space="preserve"> </v>
      </c>
      <c r="J134" s="38" t="str">
        <f>IF($O$115=4,"mln m3"," ")</f>
        <v xml:space="preserve"> </v>
      </c>
      <c r="R134" s="95" t="s">
        <v>12</v>
      </c>
      <c r="AK134" s="227" t="s">
        <v>153</v>
      </c>
      <c r="AL134" s="109">
        <v>1</v>
      </c>
      <c r="AM134" s="109">
        <v>400001</v>
      </c>
      <c r="AN134" s="110">
        <v>19</v>
      </c>
      <c r="AO134" s="110">
        <v>6.5</v>
      </c>
      <c r="AP134" s="111"/>
      <c r="AQ134" s="111"/>
      <c r="AR134" s="110">
        <v>0.5</v>
      </c>
      <c r="AS134" s="110">
        <v>1</v>
      </c>
      <c r="AT134" s="94"/>
      <c r="AU134" s="94"/>
      <c r="AV134" s="94"/>
      <c r="AW134" s="94"/>
      <c r="AX134" s="94"/>
      <c r="AZ134" s="95"/>
      <c r="BA134" s="108"/>
      <c r="BB134" s="108"/>
      <c r="BC134" s="95"/>
    </row>
    <row r="135" spans="2:55" hidden="1">
      <c r="B135" s="242" t="s">
        <v>143</v>
      </c>
      <c r="C135" s="242"/>
      <c r="D135" s="242"/>
      <c r="E135" s="242"/>
      <c r="F135" s="93"/>
      <c r="G135" s="242" t="s">
        <v>143</v>
      </c>
      <c r="H135" s="242"/>
      <c r="I135" s="242"/>
      <c r="J135" s="242"/>
      <c r="Q135" s="94">
        <v>1</v>
      </c>
      <c r="R135" s="95" t="s">
        <v>151</v>
      </c>
      <c r="U135" s="38" t="str">
        <f>IF($O$122&lt;2020,$R$139,IF($O$122&lt;3010,$U$117:$U$118,IF($O$122=3010,$R$139,IF($O$122=3020,$U$117:$U$118,$R$139))))</f>
        <v>NIE DOTYCZY</v>
      </c>
      <c r="V135" s="38" t="e">
        <f>IF($O$115=1,$R$139,IF($O$115&lt;=3,$U$114:$U$115,IF($O$115&lt;=5,$R$139,$U$114:$U$115)))</f>
        <v>#VALUE!</v>
      </c>
      <c r="AK135" s="228"/>
      <c r="AL135" s="100">
        <v>2</v>
      </c>
      <c r="AM135" s="100">
        <v>400002</v>
      </c>
      <c r="AN135" s="112">
        <v>19</v>
      </c>
      <c r="AO135" s="112">
        <v>5</v>
      </c>
      <c r="AP135" s="113"/>
      <c r="AQ135" s="113"/>
      <c r="AR135" s="112">
        <v>0.5</v>
      </c>
      <c r="AS135" s="112">
        <v>2.75</v>
      </c>
      <c r="AT135" s="94"/>
      <c r="AU135" s="94"/>
      <c r="AV135" s="94"/>
      <c r="AW135" s="94"/>
      <c r="AX135" s="94"/>
      <c r="AZ135" s="95"/>
      <c r="BA135" s="108"/>
      <c r="BB135" s="108"/>
      <c r="BC135" s="95"/>
    </row>
    <row r="136" spans="2:55" hidden="1">
      <c r="B136" s="114" t="s">
        <v>33</v>
      </c>
      <c r="C136" s="244"/>
      <c r="D136" s="244"/>
      <c r="E136" s="115" t="s">
        <v>34</v>
      </c>
      <c r="F136" s="93"/>
      <c r="G136" s="114" t="s">
        <v>33</v>
      </c>
      <c r="H136" s="244"/>
      <c r="I136" s="244"/>
      <c r="J136" s="115" t="s">
        <v>34</v>
      </c>
      <c r="Q136" s="94">
        <v>2</v>
      </c>
      <c r="R136" s="95" t="s">
        <v>148</v>
      </c>
      <c r="U136" s="38" t="str">
        <f>IF($M$122&lt;2020,$R$139,IF($M$122&lt;3010,$U$120:$U$121,IF($M$122=3010,$R$139,IF($M$122=3020,$U$120:$U$121,$R$139))))</f>
        <v>NIE DOTYCZY</v>
      </c>
      <c r="AK136" s="228"/>
      <c r="AL136" s="100">
        <v>3</v>
      </c>
      <c r="AM136" s="100">
        <v>400003</v>
      </c>
      <c r="AN136" s="112">
        <v>19</v>
      </c>
      <c r="AO136" s="112">
        <v>5</v>
      </c>
      <c r="AP136" s="113"/>
      <c r="AQ136" s="113"/>
      <c r="AR136" s="112">
        <v>0.6</v>
      </c>
      <c r="AS136" s="112">
        <v>1.8</v>
      </c>
      <c r="AT136" s="94"/>
      <c r="AU136" s="94"/>
      <c r="AV136" s="94"/>
      <c r="AW136" s="94"/>
      <c r="AX136" s="94"/>
      <c r="AZ136" s="95"/>
      <c r="BA136" s="108"/>
      <c r="BB136" s="108"/>
      <c r="BC136" s="95"/>
    </row>
    <row r="137" spans="2:55" ht="15" hidden="1" thickBot="1">
      <c r="F137" s="93"/>
      <c r="Q137" s="94">
        <v>3</v>
      </c>
      <c r="R137" s="95" t="s">
        <v>210</v>
      </c>
      <c r="AK137" s="229"/>
      <c r="AL137" s="105">
        <v>4</v>
      </c>
      <c r="AM137" s="105">
        <v>400004</v>
      </c>
      <c r="AN137" s="106">
        <v>19</v>
      </c>
      <c r="AO137" s="106">
        <v>5</v>
      </c>
      <c r="AP137" s="107"/>
      <c r="AQ137" s="107"/>
      <c r="AR137" s="106">
        <v>0.4</v>
      </c>
      <c r="AS137" s="106">
        <v>1</v>
      </c>
      <c r="AT137" s="94"/>
      <c r="AU137" s="94"/>
      <c r="AV137" s="94"/>
      <c r="AW137" s="94"/>
      <c r="AX137" s="94"/>
      <c r="AZ137" s="95"/>
      <c r="BA137" s="108"/>
      <c r="BB137" s="108"/>
      <c r="BC137" s="95"/>
    </row>
    <row r="138" spans="2:55" hidden="1">
      <c r="B138" s="242" t="s">
        <v>35</v>
      </c>
      <c r="C138" s="242"/>
      <c r="D138" s="242"/>
      <c r="E138" s="242"/>
      <c r="F138" s="93"/>
      <c r="G138" s="242" t="s">
        <v>35</v>
      </c>
      <c r="H138" s="242"/>
      <c r="I138" s="242"/>
      <c r="J138" s="242"/>
      <c r="AJ138" s="243" t="s">
        <v>156</v>
      </c>
      <c r="AK138" s="228" t="s">
        <v>154</v>
      </c>
      <c r="AL138" s="116">
        <v>1</v>
      </c>
      <c r="AM138" s="116">
        <v>510001</v>
      </c>
      <c r="AN138" s="117">
        <v>2</v>
      </c>
      <c r="AO138" s="117">
        <v>4800</v>
      </c>
      <c r="AP138" s="118"/>
      <c r="AQ138" s="118"/>
      <c r="AR138" s="117">
        <v>270</v>
      </c>
      <c r="AS138" s="117">
        <v>12</v>
      </c>
      <c r="AT138" s="94"/>
      <c r="AU138" s="94"/>
      <c r="AV138" s="94"/>
      <c r="AW138" s="94"/>
      <c r="AX138" s="94"/>
      <c r="AZ138" s="95"/>
      <c r="BA138" s="108"/>
      <c r="BB138" s="108"/>
      <c r="BC138" s="95"/>
    </row>
    <row r="139" spans="2:55" hidden="1">
      <c r="B139" s="114" t="s">
        <v>36</v>
      </c>
      <c r="C139" s="244"/>
      <c r="D139" s="244"/>
      <c r="E139" s="115" t="s">
        <v>34</v>
      </c>
      <c r="F139" s="93"/>
      <c r="G139" s="114" t="s">
        <v>36</v>
      </c>
      <c r="H139" s="244"/>
      <c r="I139" s="244"/>
      <c r="J139" s="115" t="s">
        <v>34</v>
      </c>
      <c r="R139" s="95" t="s">
        <v>173</v>
      </c>
      <c r="AJ139" s="237"/>
      <c r="AK139" s="228"/>
      <c r="AL139" s="100">
        <v>2</v>
      </c>
      <c r="AM139" s="100">
        <v>510002</v>
      </c>
      <c r="AN139" s="112">
        <v>2</v>
      </c>
      <c r="AO139" s="112">
        <v>3700</v>
      </c>
      <c r="AP139" s="113"/>
      <c r="AQ139" s="113"/>
      <c r="AR139" s="112">
        <v>270</v>
      </c>
      <c r="AS139" s="112">
        <v>14.5</v>
      </c>
      <c r="AT139" s="94"/>
      <c r="AU139" s="94"/>
      <c r="AV139" s="94"/>
      <c r="AW139" s="94"/>
      <c r="AX139" s="94"/>
      <c r="AZ139" s="95"/>
      <c r="BA139" s="108"/>
      <c r="BB139" s="108"/>
      <c r="BC139" s="95"/>
    </row>
    <row r="140" spans="2:55" hidden="1">
      <c r="F140" s="93"/>
      <c r="Q140" s="38" t="s">
        <v>44</v>
      </c>
      <c r="AJ140" s="237"/>
      <c r="AK140" s="228"/>
      <c r="AL140" s="100">
        <v>3</v>
      </c>
      <c r="AM140" s="100">
        <v>510003</v>
      </c>
      <c r="AN140" s="112">
        <v>2</v>
      </c>
      <c r="AO140" s="112">
        <v>1920</v>
      </c>
      <c r="AP140" s="113"/>
      <c r="AQ140" s="113"/>
      <c r="AR140" s="112">
        <v>270</v>
      </c>
      <c r="AS140" s="112">
        <v>14.5</v>
      </c>
      <c r="AT140" s="94"/>
      <c r="AU140" s="94"/>
      <c r="AV140" s="94"/>
      <c r="AW140" s="94"/>
      <c r="AX140" s="94"/>
      <c r="AZ140" s="95"/>
      <c r="BA140" s="108"/>
      <c r="BB140" s="108"/>
      <c r="BC140" s="95"/>
    </row>
    <row r="141" spans="2:55" hidden="1">
      <c r="B141" s="242" t="s">
        <v>38</v>
      </c>
      <c r="C141" s="242"/>
      <c r="D141" s="242"/>
      <c r="E141" s="242"/>
      <c r="F141" s="93"/>
      <c r="G141" s="242" t="s">
        <v>38</v>
      </c>
      <c r="H141" s="242"/>
      <c r="I141" s="242"/>
      <c r="J141" s="242"/>
      <c r="Q141" s="38">
        <v>1</v>
      </c>
      <c r="R141" s="38" t="str">
        <f>IF($M$128&lt;=10100,$U$125,IF($M$128&lt;20101,$U$127,IF($M$128&lt;=20212,$U$123,IF($M$128&lt;=20222,$U$125,IF($M$128&lt;30101,$U$127,IF($M$128&lt;=30212,$U$123,IF($M$128&lt;=30222,$U$125,(IF($M$128&lt;=62000,$R$129,(IF($M$128&lt;=70100,$R$137,$R$135)))))))))))</f>
        <v>Cały zakres wydajności cieplnej</v>
      </c>
      <c r="AJ141" s="237"/>
      <c r="AK141" s="239"/>
      <c r="AL141" s="100">
        <v>4</v>
      </c>
      <c r="AM141" s="100">
        <v>510004</v>
      </c>
      <c r="AN141" s="112">
        <v>2</v>
      </c>
      <c r="AO141" s="112">
        <v>1280</v>
      </c>
      <c r="AP141" s="113"/>
      <c r="AQ141" s="113"/>
      <c r="AR141" s="112">
        <v>360</v>
      </c>
      <c r="AS141" s="112">
        <v>15</v>
      </c>
      <c r="AT141" s="94"/>
      <c r="AU141" s="94"/>
      <c r="AV141" s="94"/>
      <c r="AW141" s="94"/>
      <c r="AX141" s="94"/>
      <c r="AZ141" s="95"/>
      <c r="BC141" s="95"/>
    </row>
    <row r="142" spans="2:55" hidden="1">
      <c r="B142" s="114" t="s">
        <v>39</v>
      </c>
      <c r="C142" s="244"/>
      <c r="D142" s="244"/>
      <c r="E142" s="115" t="s">
        <v>34</v>
      </c>
      <c r="F142" s="93"/>
      <c r="G142" s="114" t="s">
        <v>39</v>
      </c>
      <c r="H142" s="244"/>
      <c r="I142" s="244"/>
      <c r="J142" s="115" t="s">
        <v>34</v>
      </c>
      <c r="Q142" s="38">
        <v>2</v>
      </c>
      <c r="R142" s="38" t="str">
        <f>IF($M$128&lt;=10100," ",IF($M$128&lt;20101,$U$128,IF($M$128&lt;=20212,$U$124,IF($M$128&lt;=20222," ",IF($M$128&lt;30101,$U$128,IF($M$128&lt;=30212,$U$124,IF($M$128&lt;=30222," ",IF($M$128&lt;=62000,$R$130,(IF($M$128&lt;=70100," ",$R$136))))))))))</f>
        <v xml:space="preserve"> </v>
      </c>
      <c r="AJ142" s="237"/>
      <c r="AK142" s="241" t="s">
        <v>155</v>
      </c>
      <c r="AL142" s="100">
        <v>1</v>
      </c>
      <c r="AM142" s="100">
        <v>520001</v>
      </c>
      <c r="AN142" s="112">
        <v>2</v>
      </c>
      <c r="AO142" s="112">
        <v>7500</v>
      </c>
      <c r="AP142" s="113"/>
      <c r="AQ142" s="113"/>
      <c r="AR142" s="112">
        <v>270</v>
      </c>
      <c r="AS142" s="112">
        <v>12</v>
      </c>
      <c r="AT142" s="94"/>
      <c r="AU142" s="94"/>
      <c r="AV142" s="94"/>
      <c r="AW142" s="94"/>
      <c r="AX142" s="94"/>
      <c r="AZ142" s="95"/>
      <c r="BC142" s="95"/>
    </row>
    <row r="143" spans="2:55" hidden="1">
      <c r="F143" s="93"/>
      <c r="Q143" s="38">
        <v>3</v>
      </c>
      <c r="R143" s="38" t="str">
        <f>IF($M$128&lt;=10100," ",IF($M$128&lt;20101,$U$129,IF($M$128&lt;=20222," ",IF($M$128&lt;30101,$U$129,IF($M$128&lt;=30222," ",IF($M$128&lt;=40000,$R$131,IF($M$128&lt;=62000,$R$133," ")))))))</f>
        <v xml:space="preserve"> </v>
      </c>
      <c r="AJ143" s="237"/>
      <c r="AK143" s="228"/>
      <c r="AL143" s="100">
        <v>2</v>
      </c>
      <c r="AM143" s="100">
        <v>520002</v>
      </c>
      <c r="AN143" s="112">
        <v>2</v>
      </c>
      <c r="AO143" s="112">
        <v>3700</v>
      </c>
      <c r="AP143" s="113"/>
      <c r="AQ143" s="113"/>
      <c r="AR143" s="112">
        <v>270</v>
      </c>
      <c r="AS143" s="112">
        <v>14.5</v>
      </c>
      <c r="AT143" s="94"/>
      <c r="AU143" s="94"/>
      <c r="AV143" s="94"/>
      <c r="AW143" s="94"/>
      <c r="AX143" s="94"/>
      <c r="AZ143" s="95"/>
      <c r="BC143" s="95"/>
    </row>
    <row r="144" spans="2:55" hidden="1">
      <c r="B144" s="242" t="s">
        <v>141</v>
      </c>
      <c r="C144" s="242"/>
      <c r="D144" s="242"/>
      <c r="E144" s="242"/>
      <c r="F144" s="93"/>
      <c r="G144" s="242" t="s">
        <v>141</v>
      </c>
      <c r="H144" s="242"/>
      <c r="I144" s="242"/>
      <c r="J144" s="242"/>
      <c r="Q144" s="38">
        <v>4</v>
      </c>
      <c r="R144" s="38" t="str">
        <f>IF($M$128&lt;=30222," ",IF($M$128&lt;=40000,$R$132,IF($M$128&lt;=62000,$R$134,IF($M$128&lt;=20222," ",IF($M$128=60000,$U$125," ")))))</f>
        <v xml:space="preserve"> </v>
      </c>
      <c r="AJ144" s="237"/>
      <c r="AK144" s="228"/>
      <c r="AL144" s="100">
        <v>3</v>
      </c>
      <c r="AM144" s="100">
        <v>520003</v>
      </c>
      <c r="AN144" s="112">
        <v>2</v>
      </c>
      <c r="AO144" s="112">
        <v>1920</v>
      </c>
      <c r="AP144" s="113"/>
      <c r="AQ144" s="113"/>
      <c r="AR144" s="112">
        <v>270</v>
      </c>
      <c r="AS144" s="112">
        <v>14.5</v>
      </c>
      <c r="AT144" s="94"/>
      <c r="AU144" s="94"/>
      <c r="AV144" s="94"/>
      <c r="AW144" s="94"/>
      <c r="AX144" s="94"/>
      <c r="AZ144" s="95"/>
      <c r="BC144" s="95"/>
    </row>
    <row r="145" spans="2:55" ht="19.5" hidden="1" thickBot="1">
      <c r="B145" s="119" t="s">
        <v>368</v>
      </c>
      <c r="C145" s="114" t="s">
        <v>37</v>
      </c>
      <c r="D145" s="41"/>
      <c r="E145" s="115" t="s">
        <v>34</v>
      </c>
      <c r="F145" s="93"/>
      <c r="G145" s="119" t="s">
        <v>368</v>
      </c>
      <c r="H145" s="114" t="s">
        <v>37</v>
      </c>
      <c r="I145" s="41"/>
      <c r="J145" s="115" t="s">
        <v>34</v>
      </c>
      <c r="AJ145" s="238"/>
      <c r="AK145" s="229"/>
      <c r="AL145" s="105">
        <v>4</v>
      </c>
      <c r="AM145" s="105">
        <v>520004</v>
      </c>
      <c r="AN145" s="106">
        <v>2</v>
      </c>
      <c r="AO145" s="106">
        <v>1280</v>
      </c>
      <c r="AP145" s="107"/>
      <c r="AQ145" s="107"/>
      <c r="AR145" s="106">
        <v>360</v>
      </c>
      <c r="AS145" s="106">
        <v>15</v>
      </c>
      <c r="AT145" s="94"/>
      <c r="AU145" s="94"/>
      <c r="AV145" s="94"/>
      <c r="AW145" s="94"/>
      <c r="AX145" s="94"/>
      <c r="AZ145" s="95"/>
      <c r="BC145" s="95"/>
    </row>
    <row r="146" spans="2:55" ht="18.75" hidden="1">
      <c r="B146" s="119" t="s">
        <v>369</v>
      </c>
      <c r="C146" s="114" t="s">
        <v>37</v>
      </c>
      <c r="D146" s="41"/>
      <c r="E146" s="115" t="s">
        <v>34</v>
      </c>
      <c r="F146" s="93"/>
      <c r="G146" s="119" t="s">
        <v>369</v>
      </c>
      <c r="H146" s="114" t="s">
        <v>37</v>
      </c>
      <c r="I146" s="41"/>
      <c r="J146" s="115" t="s">
        <v>34</v>
      </c>
      <c r="AJ146" s="236" t="s">
        <v>157</v>
      </c>
      <c r="AK146" s="227" t="s">
        <v>154</v>
      </c>
      <c r="AL146" s="109">
        <v>1</v>
      </c>
      <c r="AM146" s="109">
        <v>610001</v>
      </c>
      <c r="AN146" s="110">
        <v>1.4</v>
      </c>
      <c r="AO146" s="110">
        <v>3360</v>
      </c>
      <c r="AP146" s="111"/>
      <c r="AQ146" s="111"/>
      <c r="AR146" s="110">
        <v>190</v>
      </c>
      <c r="AS146" s="110">
        <v>8.5</v>
      </c>
      <c r="AT146" s="94"/>
      <c r="AU146" s="94"/>
      <c r="AV146" s="94"/>
      <c r="AW146" s="94"/>
      <c r="AX146" s="94"/>
      <c r="AZ146" s="95"/>
      <c r="BA146" s="108"/>
      <c r="BB146" s="108"/>
      <c r="BC146" s="95"/>
    </row>
    <row r="147" spans="2:55" hidden="1">
      <c r="B147" s="119" t="s">
        <v>4</v>
      </c>
      <c r="C147" s="114" t="s">
        <v>37</v>
      </c>
      <c r="D147" s="41"/>
      <c r="E147" s="115" t="s">
        <v>34</v>
      </c>
      <c r="F147" s="93"/>
      <c r="G147" s="119" t="s">
        <v>4</v>
      </c>
      <c r="H147" s="114" t="s">
        <v>37</v>
      </c>
      <c r="I147" s="41"/>
      <c r="J147" s="115" t="s">
        <v>34</v>
      </c>
      <c r="AJ147" s="237"/>
      <c r="AK147" s="228"/>
      <c r="AL147" s="100">
        <v>2</v>
      </c>
      <c r="AM147" s="100">
        <v>610002</v>
      </c>
      <c r="AN147" s="112">
        <v>1.4</v>
      </c>
      <c r="AO147" s="112">
        <v>2590</v>
      </c>
      <c r="AP147" s="113"/>
      <c r="AQ147" s="113"/>
      <c r="AR147" s="112">
        <v>190</v>
      </c>
      <c r="AS147" s="112">
        <v>10.1</v>
      </c>
      <c r="AT147" s="94"/>
      <c r="AU147" s="94"/>
      <c r="AV147" s="94"/>
      <c r="AW147" s="94"/>
      <c r="AX147" s="94"/>
      <c r="AZ147" s="95"/>
      <c r="BC147" s="95"/>
    </row>
    <row r="148" spans="2:55" hidden="1">
      <c r="B148" s="119" t="s">
        <v>142</v>
      </c>
      <c r="C148" s="114" t="s">
        <v>37</v>
      </c>
      <c r="D148" s="41">
        <v>0</v>
      </c>
      <c r="E148" s="115" t="s">
        <v>34</v>
      </c>
      <c r="F148" s="93"/>
      <c r="G148" s="119" t="s">
        <v>142</v>
      </c>
      <c r="H148" s="114" t="s">
        <v>37</v>
      </c>
      <c r="I148" s="41"/>
      <c r="J148" s="115" t="s">
        <v>34</v>
      </c>
      <c r="AJ148" s="237"/>
      <c r="AK148" s="228"/>
      <c r="AL148" s="100">
        <v>3</v>
      </c>
      <c r="AM148" s="100">
        <v>610003</v>
      </c>
      <c r="AN148" s="112">
        <v>1.4</v>
      </c>
      <c r="AO148" s="112">
        <v>1345</v>
      </c>
      <c r="AP148" s="113"/>
      <c r="AQ148" s="113"/>
      <c r="AR148" s="112">
        <v>190</v>
      </c>
      <c r="AS148" s="112">
        <v>10.1</v>
      </c>
      <c r="AT148" s="94"/>
      <c r="AU148" s="94"/>
      <c r="AV148" s="94"/>
      <c r="AW148" s="94"/>
      <c r="AX148" s="94"/>
      <c r="AZ148" s="95"/>
      <c r="BC148" s="95"/>
    </row>
    <row r="149" spans="2:55" hidden="1">
      <c r="F149" s="93"/>
      <c r="Q149" s="38" t="s">
        <v>45</v>
      </c>
      <c r="AJ149" s="237"/>
      <c r="AK149" s="239"/>
      <c r="AL149" s="100">
        <v>4</v>
      </c>
      <c r="AM149" s="100">
        <v>610004</v>
      </c>
      <c r="AN149" s="112">
        <v>1.4</v>
      </c>
      <c r="AO149" s="112">
        <v>900</v>
      </c>
      <c r="AP149" s="113"/>
      <c r="AQ149" s="113"/>
      <c r="AR149" s="112">
        <v>225</v>
      </c>
      <c r="AS149" s="112">
        <v>10.5</v>
      </c>
      <c r="AT149" s="94"/>
      <c r="AU149" s="94"/>
      <c r="AV149" s="94"/>
      <c r="AW149" s="94"/>
      <c r="AX149" s="94"/>
      <c r="AZ149" s="95"/>
      <c r="BA149" s="108"/>
      <c r="BB149" s="108"/>
      <c r="BC149" s="95"/>
    </row>
    <row r="150" spans="2:55" ht="15" hidden="1">
      <c r="B150" s="240" t="s">
        <v>47</v>
      </c>
      <c r="C150" s="240"/>
      <c r="D150" s="240"/>
      <c r="E150" s="240"/>
      <c r="F150" s="93"/>
      <c r="G150" s="240" t="s">
        <v>47</v>
      </c>
      <c r="H150" s="240"/>
      <c r="I150" s="240"/>
      <c r="J150" s="240"/>
      <c r="Q150" s="38">
        <v>1</v>
      </c>
      <c r="R150" s="38" t="str">
        <f>IF($O$128&lt;=10100,$U$125,IF($O$128&lt;20101,$U$127,IF($O$128&lt;=20212,$U$123,IF($O$128&lt;=20222,$U$125,IF($O$128&lt;30101,$U$127,IF($O$128&lt;=30212,$U$123,IF($O$128&lt;=30222,$U$125,(IF($O$128&lt;=62000,$R$129,(IF($O$128&lt;=70100,$R$137,$R$135)))))))))))</f>
        <v>Cały zakres wydajności cieplnej</v>
      </c>
      <c r="AJ150" s="237"/>
      <c r="AK150" s="241" t="s">
        <v>155</v>
      </c>
      <c r="AL150" s="100">
        <v>1</v>
      </c>
      <c r="AM150" s="100">
        <v>620001</v>
      </c>
      <c r="AN150" s="112">
        <v>1.4</v>
      </c>
      <c r="AO150" s="112">
        <v>5250</v>
      </c>
      <c r="AP150" s="104"/>
      <c r="AQ150" s="104"/>
      <c r="AR150" s="112">
        <v>190</v>
      </c>
      <c r="AS150" s="112">
        <v>8.5</v>
      </c>
    </row>
    <row r="151" spans="2:55" ht="18.75" hidden="1">
      <c r="B151" s="120" t="s">
        <v>370</v>
      </c>
      <c r="C151" s="100"/>
      <c r="E151" s="121" t="s">
        <v>42</v>
      </c>
      <c r="F151" s="93"/>
      <c r="G151" s="122" t="s">
        <v>370</v>
      </c>
      <c r="H151" s="100"/>
      <c r="I151" s="123">
        <f>IF($O$132&lt;301001,$H$133*$H$136*$O$151*(100-$I$145)/100,IF($O$132&lt;=301003,"Nie oblicza się",IF($O$132&lt;701001,$H$133*$H$136*$O$151*(100-$I$145)/100,$H$133*$O$151*(100-$I$145)/100)))</f>
        <v>0</v>
      </c>
      <c r="J151" s="100" t="s">
        <v>42</v>
      </c>
      <c r="M151" s="38">
        <f>VLOOKUP($M$132,$AM$114:$AS$156,2)</f>
        <v>0</v>
      </c>
      <c r="O151" s="38">
        <f>VLOOKUP($O$132,$AM$114:$AS$156,2)</f>
        <v>0</v>
      </c>
      <c r="Q151" s="38">
        <v>2</v>
      </c>
      <c r="R151" s="38" t="str">
        <f>IF($O$128&lt;=10100," ",IF($O$128&lt;20101,$U$128,IF($O$128&lt;=20212,$U$124,IF($O$128&lt;=20222," ",IF($O$128&lt;30101,$U$128,IF($O$128&lt;=30212,$U$124,IF($O$128&lt;=30222," ",IF($O$128&lt;=62000,$R$130,(IF($O$128&lt;=70100," ",$R$136))))))))))</f>
        <v xml:space="preserve"> </v>
      </c>
      <c r="AJ151" s="237"/>
      <c r="AK151" s="228"/>
      <c r="AL151" s="100">
        <v>2</v>
      </c>
      <c r="AM151" s="100">
        <v>620002</v>
      </c>
      <c r="AN151" s="112">
        <v>1.4</v>
      </c>
      <c r="AO151" s="112">
        <v>2590</v>
      </c>
      <c r="AP151" s="104"/>
      <c r="AQ151" s="104"/>
      <c r="AR151" s="112">
        <v>190</v>
      </c>
      <c r="AS151" s="112">
        <v>10.1</v>
      </c>
    </row>
    <row r="152" spans="2:55" ht="18.75" hidden="1">
      <c r="B152" s="120" t="s">
        <v>371</v>
      </c>
      <c r="C152" s="100"/>
      <c r="E152" s="121" t="s">
        <v>42</v>
      </c>
      <c r="F152" s="93"/>
      <c r="G152" s="122" t="s">
        <v>371</v>
      </c>
      <c r="H152" s="100"/>
      <c r="I152" s="124">
        <f>IF($O$132&lt;301001,$H$133*$O$152*(100-$I$146)/100,IF($O$132&lt;=301003,"Nie oblicza się",$H$133*$O$152*(100-$I$146)/100))</f>
        <v>0</v>
      </c>
      <c r="J152" s="100" t="s">
        <v>42</v>
      </c>
      <c r="M152" s="38">
        <f>VLOOKUP($M$132,$AM$114:$AS$156,3)</f>
        <v>0</v>
      </c>
      <c r="O152" s="38">
        <f>VLOOKUP($O$132,$AM$114:$AS$156,3)</f>
        <v>0</v>
      </c>
      <c r="Q152" s="38">
        <v>3</v>
      </c>
      <c r="R152" s="38" t="str">
        <f>IF($O$128&lt;=10100," ",IF($O$128&lt;20101,$U$129,IF($O$128&lt;=20222," ",IF($O$128&lt;30101,$U$129,IF($O$128&lt;=30222," ",IF($O$128&lt;=40000,$R$131,IF($O$128&lt;=62000,$R$133," ")))))))</f>
        <v xml:space="preserve"> </v>
      </c>
      <c r="AJ152" s="237"/>
      <c r="AK152" s="228"/>
      <c r="AL152" s="100">
        <v>3</v>
      </c>
      <c r="AM152" s="100">
        <v>620003</v>
      </c>
      <c r="AN152" s="112">
        <v>1.4</v>
      </c>
      <c r="AO152" s="112">
        <v>1345</v>
      </c>
      <c r="AP152" s="113"/>
      <c r="AQ152" s="113"/>
      <c r="AR152" s="112">
        <v>190</v>
      </c>
      <c r="AS152" s="112">
        <v>10.1</v>
      </c>
      <c r="AT152" s="94"/>
      <c r="AU152" s="94"/>
      <c r="AV152" s="94"/>
      <c r="AW152" s="94"/>
      <c r="AX152" s="94"/>
      <c r="AY152" s="94"/>
    </row>
    <row r="153" spans="2:55" ht="19.5" hidden="1" thickBot="1">
      <c r="B153" s="120" t="s">
        <v>372</v>
      </c>
      <c r="C153" s="100"/>
      <c r="E153" s="121" t="s">
        <v>42</v>
      </c>
      <c r="F153" s="93"/>
      <c r="G153" s="122" t="s">
        <v>372</v>
      </c>
      <c r="H153" s="100"/>
      <c r="I153" s="124" t="s">
        <v>160</v>
      </c>
      <c r="J153" s="100" t="s">
        <v>42</v>
      </c>
      <c r="M153" s="38">
        <f>VLOOKUP($M$132,$AM$114:$AS$156,5)</f>
        <v>0</v>
      </c>
      <c r="O153" s="38">
        <f>VLOOKUP($O$132,$AM$114:$AS$156,5)</f>
        <v>0</v>
      </c>
      <c r="Q153" s="38">
        <v>4</v>
      </c>
      <c r="R153" s="38" t="str">
        <f>IF($O$128&lt;=30222," ",IF($O$128&lt;=40000,$R$132,IF($O$128&lt;=62000,$R$134,IF($O$128&lt;=20222," ",IF($O$128=60000,$U$125," ")))))</f>
        <v xml:space="preserve"> </v>
      </c>
      <c r="AJ153" s="238"/>
      <c r="AK153" s="229"/>
      <c r="AL153" s="105">
        <v>4</v>
      </c>
      <c r="AM153" s="105">
        <v>620004</v>
      </c>
      <c r="AN153" s="106">
        <v>1.4</v>
      </c>
      <c r="AO153" s="106">
        <v>900</v>
      </c>
      <c r="AP153" s="107"/>
      <c r="AQ153" s="107"/>
      <c r="AR153" s="106">
        <v>225</v>
      </c>
      <c r="AS153" s="106">
        <v>10.5</v>
      </c>
      <c r="AT153" s="94"/>
      <c r="AU153" s="94"/>
      <c r="AV153" s="94"/>
      <c r="AW153" s="94"/>
      <c r="AX153" s="94"/>
      <c r="AY153" s="94"/>
    </row>
    <row r="154" spans="2:55" hidden="1">
      <c r="B154" s="120" t="s">
        <v>40</v>
      </c>
      <c r="C154" s="100"/>
      <c r="E154" s="121" t="s">
        <v>42</v>
      </c>
      <c r="F154" s="93"/>
      <c r="G154" s="122" t="s">
        <v>40</v>
      </c>
      <c r="H154" s="100"/>
      <c r="I154" s="124">
        <f>IF($O$132&lt;301001,$H$133*$O$154*(100-$I$147)/100,IF($O$132&lt;=301003,"Nie oblicza się",$H$133*$O$154*(100-$I$147)/100))</f>
        <v>0</v>
      </c>
      <c r="J154" s="100" t="s">
        <v>42</v>
      </c>
      <c r="M154" s="38">
        <f>VLOOKUP($M$132,$AM$114:$AS$156,6)</f>
        <v>0</v>
      </c>
      <c r="O154" s="38">
        <f>VLOOKUP($O$132,$AM$114:$AS$156,6)</f>
        <v>0</v>
      </c>
      <c r="AK154" s="227" t="s">
        <v>158</v>
      </c>
      <c r="AL154" s="109">
        <v>1</v>
      </c>
      <c r="AM154" s="109">
        <v>701001</v>
      </c>
      <c r="AN154" s="110">
        <f>T170</f>
        <v>0.02</v>
      </c>
      <c r="AO154" s="110">
        <f>T171</f>
        <v>0.8</v>
      </c>
      <c r="AP154" s="125"/>
      <c r="AQ154" s="125">
        <f>T172</f>
        <v>0</v>
      </c>
      <c r="AR154" s="110">
        <f>T173</f>
        <v>11</v>
      </c>
      <c r="AS154" s="110">
        <f>T174</f>
        <v>2.5</v>
      </c>
      <c r="AY154" s="94"/>
    </row>
    <row r="155" spans="2:55" hidden="1">
      <c r="B155" s="230" t="s">
        <v>41</v>
      </c>
      <c r="C155" s="231"/>
      <c r="E155" s="121" t="s">
        <v>42</v>
      </c>
      <c r="F155" s="93"/>
      <c r="G155" s="232" t="s">
        <v>41</v>
      </c>
      <c r="H155" s="231"/>
      <c r="I155" s="124">
        <f>IF($O$132&lt;301001,$H$133*$O$155*$H$139*(100-$I$148)/(100-$H$142),IF($O$132&lt;=301003,"Nie oblicza się",IF($O$132&lt;=302221,$H$133*$O$155*$H$139*(100-$I$148)/(100-$H$142),IF($O$132&lt;=701001,$H$133*$O$155*(100-$I$148)/(100-$H$142),$H$133*$O$155*$H$139*(100-$I$148)/(100-$H$142)))))</f>
        <v>0</v>
      </c>
      <c r="J155" s="100" t="s">
        <v>42</v>
      </c>
      <c r="M155" s="38">
        <f>VLOOKUP($M$132,$AM$114:$AS$156,7)</f>
        <v>0</v>
      </c>
      <c r="O155" s="38">
        <f>VLOOKUP($O$132,$AM$114:$AS$156,7)</f>
        <v>0</v>
      </c>
      <c r="AK155" s="228"/>
      <c r="AL155" s="100">
        <v>2</v>
      </c>
      <c r="AM155" s="100">
        <v>702001</v>
      </c>
      <c r="AN155" s="112">
        <f>Q170</f>
        <v>0.11</v>
      </c>
      <c r="AO155" s="112">
        <f>Q171</f>
        <v>1</v>
      </c>
      <c r="AP155" s="113"/>
      <c r="AQ155" s="113">
        <f>Q172</f>
        <v>0</v>
      </c>
      <c r="AR155" s="112">
        <f>Q173</f>
        <v>26</v>
      </c>
      <c r="AS155" s="112">
        <f>Q174</f>
        <v>1.5</v>
      </c>
      <c r="AT155" s="94"/>
      <c r="AU155" s="94"/>
      <c r="AV155" s="94"/>
      <c r="AW155" s="94"/>
      <c r="AX155" s="94"/>
      <c r="AY155" s="94"/>
    </row>
    <row r="156" spans="2:55" ht="15" hidden="1" thickBot="1">
      <c r="F156" s="93"/>
      <c r="AK156" s="229"/>
      <c r="AL156" s="105">
        <v>3</v>
      </c>
      <c r="AM156" s="105">
        <v>702002</v>
      </c>
      <c r="AN156" s="106">
        <f>S170</f>
        <v>0.11</v>
      </c>
      <c r="AO156" s="106">
        <f>S171</f>
        <v>0.95</v>
      </c>
      <c r="AP156" s="107"/>
      <c r="AQ156" s="107">
        <f>S172</f>
        <v>0</v>
      </c>
      <c r="AR156" s="106">
        <f>S173</f>
        <v>16</v>
      </c>
      <c r="AS156" s="106">
        <f>S174</f>
        <v>1.5</v>
      </c>
      <c r="AY156" s="94"/>
    </row>
    <row r="157" spans="2:55" ht="15" hidden="1">
      <c r="B157" s="233" t="s">
        <v>46</v>
      </c>
      <c r="C157" s="234"/>
      <c r="D157" s="234"/>
      <c r="E157" s="234"/>
      <c r="F157" s="234"/>
      <c r="G157" s="234"/>
      <c r="H157" s="234"/>
      <c r="I157" s="234"/>
      <c r="J157" s="235"/>
      <c r="AN157" s="94"/>
      <c r="AO157" s="94"/>
      <c r="AP157" s="94"/>
      <c r="AQ157" s="94"/>
      <c r="AR157" s="94"/>
      <c r="AS157" s="94"/>
      <c r="AT157" s="94"/>
      <c r="AU157" s="94"/>
      <c r="AV157" s="94"/>
      <c r="AW157" s="94"/>
      <c r="AX157" s="94"/>
    </row>
    <row r="158" spans="2:55" ht="18.75" hidden="1">
      <c r="B158" s="127"/>
      <c r="C158" s="120" t="s">
        <v>370</v>
      </c>
      <c r="D158" s="100"/>
      <c r="F158" s="100" t="s">
        <v>42</v>
      </c>
      <c r="J158" s="128"/>
      <c r="AN158" s="101" t="s">
        <v>365</v>
      </c>
      <c r="AO158" s="101" t="s">
        <v>366</v>
      </c>
      <c r="AP158" s="102" t="s">
        <v>366</v>
      </c>
      <c r="AQ158" s="101" t="s">
        <v>367</v>
      </c>
      <c r="AR158" s="101" t="s">
        <v>4</v>
      </c>
      <c r="AS158" s="101" t="s">
        <v>5</v>
      </c>
      <c r="AT158" s="94"/>
      <c r="AU158" s="94"/>
      <c r="AV158" s="94"/>
      <c r="AW158" s="94"/>
      <c r="AX158" s="94"/>
    </row>
    <row r="159" spans="2:55" ht="18.75" hidden="1">
      <c r="B159" s="127"/>
      <c r="C159" s="120" t="s">
        <v>371</v>
      </c>
      <c r="D159" s="100"/>
      <c r="F159" s="100" t="s">
        <v>42</v>
      </c>
      <c r="J159" s="128"/>
      <c r="AN159" s="94"/>
      <c r="AO159" s="94"/>
      <c r="AP159" s="94"/>
      <c r="AQ159" s="94"/>
      <c r="AR159" s="94"/>
      <c r="AS159" s="94"/>
    </row>
    <row r="160" spans="2:55" ht="18.75" hidden="1">
      <c r="B160" s="127"/>
      <c r="C160" s="120" t="s">
        <v>372</v>
      </c>
      <c r="D160" s="100"/>
      <c r="F160" s="100" t="s">
        <v>42</v>
      </c>
      <c r="J160" s="128"/>
      <c r="AN160" s="94"/>
      <c r="AO160" s="94"/>
      <c r="AP160" s="94"/>
      <c r="AQ160" s="94"/>
      <c r="AR160" s="94"/>
      <c r="AS160" s="94"/>
    </row>
    <row r="161" spans="2:45" hidden="1">
      <c r="B161" s="127"/>
      <c r="C161" s="120" t="s">
        <v>40</v>
      </c>
      <c r="D161" s="100"/>
      <c r="F161" s="100" t="s">
        <v>42</v>
      </c>
      <c r="J161" s="128"/>
      <c r="AN161" s="94"/>
      <c r="AO161" s="94"/>
      <c r="AP161" s="94"/>
      <c r="AQ161" s="94"/>
      <c r="AR161" s="94"/>
      <c r="AS161" s="94"/>
    </row>
    <row r="162" spans="2:45" hidden="1">
      <c r="B162" s="127"/>
      <c r="C162" s="230" t="s">
        <v>41</v>
      </c>
      <c r="D162" s="231"/>
      <c r="F162" s="100" t="s">
        <v>42</v>
      </c>
      <c r="J162" s="128"/>
      <c r="AN162" s="94"/>
      <c r="AO162" s="94"/>
      <c r="AP162" s="94"/>
      <c r="AQ162" s="94"/>
      <c r="AR162" s="94"/>
      <c r="AS162" s="94"/>
    </row>
    <row r="163" spans="2:45" hidden="1">
      <c r="B163" s="129"/>
      <c r="C163" s="130"/>
      <c r="D163" s="130"/>
      <c r="E163" s="130"/>
      <c r="F163" s="130"/>
      <c r="G163" s="130"/>
      <c r="H163" s="130"/>
      <c r="I163" s="130"/>
      <c r="J163" s="131"/>
      <c r="AN163" s="94"/>
      <c r="AO163" s="94"/>
      <c r="AP163" s="94"/>
      <c r="AQ163" s="94"/>
      <c r="AR163" s="94"/>
      <c r="AS163" s="94"/>
    </row>
    <row r="164" spans="2:45" hidden="1">
      <c r="AN164" s="94"/>
      <c r="AO164" s="94"/>
      <c r="AP164" s="94"/>
      <c r="AQ164" s="94"/>
      <c r="AR164" s="94"/>
      <c r="AS164" s="94"/>
    </row>
    <row r="165" spans="2:45" hidden="1">
      <c r="AN165" s="94"/>
      <c r="AO165" s="94"/>
      <c r="AP165" s="94"/>
      <c r="AQ165" s="94"/>
      <c r="AR165" s="94"/>
      <c r="AS165" s="94"/>
    </row>
    <row r="166" spans="2:45" hidden="1">
      <c r="B166" s="226" t="s">
        <v>177</v>
      </c>
      <c r="C166" s="226"/>
      <c r="D166" s="226"/>
      <c r="E166" s="226"/>
      <c r="AN166" s="94"/>
      <c r="AO166" s="94"/>
      <c r="AP166" s="94"/>
      <c r="AQ166" s="94"/>
      <c r="AR166" s="94"/>
      <c r="AS166" s="94"/>
    </row>
    <row r="167" spans="2:45" ht="15" hidden="1">
      <c r="B167" s="226"/>
      <c r="C167" s="226"/>
      <c r="D167" s="226"/>
      <c r="E167" s="226"/>
      <c r="O167" s="71" t="s">
        <v>161</v>
      </c>
      <c r="AN167" s="94"/>
      <c r="AO167" s="94"/>
      <c r="AP167" s="94"/>
      <c r="AQ167" s="94"/>
      <c r="AR167" s="94"/>
      <c r="AS167" s="94"/>
    </row>
    <row r="168" spans="2:45" ht="15" hidden="1">
      <c r="O168" s="71"/>
      <c r="Q168" s="225" t="s">
        <v>6</v>
      </c>
      <c r="R168" s="225"/>
      <c r="S168" s="225"/>
      <c r="T168" s="225" t="s">
        <v>3</v>
      </c>
      <c r="U168" s="225"/>
      <c r="V168" s="225"/>
      <c r="AN168" s="94"/>
      <c r="AO168" s="94"/>
      <c r="AP168" s="94"/>
      <c r="AQ168" s="94"/>
      <c r="AR168" s="94"/>
      <c r="AS168" s="94"/>
    </row>
    <row r="169" spans="2:45" ht="15" hidden="1">
      <c r="B169" s="226" t="s">
        <v>178</v>
      </c>
      <c r="C169" s="226"/>
      <c r="D169" s="226"/>
      <c r="E169" s="226"/>
      <c r="O169" s="71"/>
      <c r="Q169" s="100" t="s">
        <v>162</v>
      </c>
      <c r="R169" s="100"/>
      <c r="S169" s="100" t="s">
        <v>163</v>
      </c>
      <c r="T169" s="225" t="s">
        <v>209</v>
      </c>
      <c r="U169" s="225"/>
      <c r="V169" s="225"/>
      <c r="AN169" s="94"/>
      <c r="AO169" s="94"/>
      <c r="AP169" s="94"/>
      <c r="AQ169" s="94"/>
      <c r="AR169" s="94"/>
      <c r="AS169" s="94"/>
    </row>
    <row r="170" spans="2:45" ht="18.75" hidden="1">
      <c r="B170" s="226"/>
      <c r="C170" s="226"/>
      <c r="D170" s="226"/>
      <c r="E170" s="226"/>
      <c r="O170" s="120" t="s">
        <v>370</v>
      </c>
      <c r="P170" s="100"/>
      <c r="Q170" s="116">
        <v>0.11</v>
      </c>
      <c r="R170" s="116"/>
      <c r="S170" s="116">
        <v>0.11</v>
      </c>
      <c r="T170" s="217">
        <v>0.02</v>
      </c>
      <c r="U170" s="218"/>
      <c r="V170" s="219"/>
      <c r="AN170" s="94"/>
      <c r="AO170" s="94"/>
      <c r="AQ170" s="94"/>
      <c r="AR170" s="94"/>
      <c r="AS170" s="94"/>
    </row>
    <row r="171" spans="2:45" ht="18.75" hidden="1">
      <c r="O171" s="120" t="s">
        <v>371</v>
      </c>
      <c r="P171" s="100"/>
      <c r="Q171" s="100">
        <v>1</v>
      </c>
      <c r="R171" s="100"/>
      <c r="S171" s="100">
        <v>0.95</v>
      </c>
      <c r="T171" s="217">
        <v>0.8</v>
      </c>
      <c r="U171" s="218"/>
      <c r="V171" s="219"/>
      <c r="AN171" s="94"/>
      <c r="AO171" s="94"/>
      <c r="AP171" s="94"/>
      <c r="AQ171" s="94"/>
      <c r="AR171" s="94"/>
      <c r="AS171" s="94"/>
    </row>
    <row r="172" spans="2:45" ht="18.75" hidden="1">
      <c r="B172" s="226" t="s">
        <v>179</v>
      </c>
      <c r="C172" s="226"/>
      <c r="O172" s="120" t="s">
        <v>372</v>
      </c>
      <c r="P172" s="100"/>
      <c r="Q172" s="100">
        <v>0</v>
      </c>
      <c r="R172" s="100"/>
      <c r="S172" s="100">
        <v>0</v>
      </c>
      <c r="T172" s="217">
        <v>0</v>
      </c>
      <c r="U172" s="218"/>
      <c r="V172" s="219"/>
      <c r="AN172" s="94"/>
      <c r="AO172" s="94"/>
      <c r="AP172" s="94"/>
      <c r="AQ172" s="94"/>
      <c r="AR172" s="94"/>
      <c r="AS172" s="94"/>
    </row>
    <row r="173" spans="2:45" hidden="1">
      <c r="B173" s="226"/>
      <c r="C173" s="226"/>
      <c r="D173" s="226"/>
      <c r="E173" s="226"/>
      <c r="O173" s="120" t="s">
        <v>40</v>
      </c>
      <c r="P173" s="100"/>
      <c r="Q173" s="100">
        <v>26</v>
      </c>
      <c r="R173" s="100"/>
      <c r="S173" s="100">
        <v>16</v>
      </c>
      <c r="T173" s="217">
        <v>11</v>
      </c>
      <c r="U173" s="218"/>
      <c r="V173" s="219"/>
      <c r="AN173" s="94"/>
      <c r="AO173" s="94"/>
      <c r="AP173" s="94"/>
      <c r="AQ173" s="94"/>
      <c r="AR173" s="94"/>
      <c r="AS173" s="94"/>
    </row>
    <row r="174" spans="2:45" hidden="1">
      <c r="O174" s="215" t="s">
        <v>41</v>
      </c>
      <c r="P174" s="216"/>
      <c r="Q174" s="100">
        <v>1.5</v>
      </c>
      <c r="R174" s="100"/>
      <c r="S174" s="100">
        <v>1.5</v>
      </c>
      <c r="T174" s="217">
        <v>2.5</v>
      </c>
      <c r="U174" s="218"/>
      <c r="V174" s="219"/>
      <c r="AN174" s="94"/>
      <c r="AO174" s="94"/>
      <c r="AP174" s="94"/>
      <c r="AQ174" s="94"/>
      <c r="AR174" s="94"/>
      <c r="AS174" s="94"/>
    </row>
    <row r="175" spans="2:45" ht="15" hidden="1">
      <c r="O175" s="71" t="s">
        <v>126</v>
      </c>
      <c r="AN175" s="94"/>
      <c r="AO175" s="94"/>
      <c r="AP175" s="94"/>
      <c r="AQ175" s="94"/>
      <c r="AR175" s="94"/>
      <c r="AS175" s="94"/>
    </row>
    <row r="176" spans="2:45" hidden="1">
      <c r="AN176" s="94"/>
      <c r="AO176" s="94"/>
      <c r="AP176" s="94"/>
      <c r="AQ176" s="94"/>
      <c r="AR176" s="94"/>
      <c r="AS176" s="94"/>
    </row>
    <row r="177" spans="15:45" ht="15" hidden="1">
      <c r="O177" s="71"/>
      <c r="Q177" s="225" t="s">
        <v>6</v>
      </c>
      <c r="R177" s="225"/>
      <c r="S177" s="225"/>
      <c r="T177" s="225" t="s">
        <v>3</v>
      </c>
      <c r="U177" s="225"/>
      <c r="V177" s="225"/>
      <c r="AN177" s="94"/>
      <c r="AO177" s="94"/>
      <c r="AP177" s="94"/>
      <c r="AQ177" s="94"/>
      <c r="AR177" s="94"/>
      <c r="AS177" s="94"/>
    </row>
    <row r="178" spans="15:45" ht="15" hidden="1">
      <c r="O178" s="71"/>
      <c r="Q178" s="100" t="s">
        <v>162</v>
      </c>
      <c r="R178" s="100"/>
      <c r="S178" s="100" t="s">
        <v>163</v>
      </c>
      <c r="T178" s="225" t="s">
        <v>209</v>
      </c>
      <c r="U178" s="225"/>
      <c r="V178" s="225"/>
      <c r="AN178" s="94"/>
      <c r="AO178" s="94"/>
      <c r="AP178" s="94"/>
      <c r="AQ178" s="94"/>
      <c r="AR178" s="94"/>
      <c r="AS178" s="94"/>
    </row>
    <row r="179" spans="15:45" ht="18.75" hidden="1">
      <c r="O179" s="120" t="s">
        <v>370</v>
      </c>
      <c r="P179" s="100"/>
      <c r="Q179" s="116">
        <v>0.11</v>
      </c>
      <c r="R179" s="116"/>
      <c r="S179" s="116">
        <v>0.11</v>
      </c>
      <c r="T179" s="217">
        <v>0.02</v>
      </c>
      <c r="U179" s="218"/>
      <c r="V179" s="219"/>
      <c r="AN179" s="94"/>
      <c r="AO179" s="94"/>
      <c r="AP179" s="94"/>
      <c r="AQ179" s="94"/>
      <c r="AR179" s="94"/>
      <c r="AS179" s="94"/>
    </row>
    <row r="180" spans="15:45" ht="18.75" hidden="1">
      <c r="O180" s="120" t="s">
        <v>371</v>
      </c>
      <c r="P180" s="100"/>
      <c r="Q180" s="100">
        <v>1</v>
      </c>
      <c r="R180" s="100"/>
      <c r="S180" s="100">
        <v>0.95</v>
      </c>
      <c r="T180" s="217">
        <v>0.8</v>
      </c>
      <c r="U180" s="218"/>
      <c r="V180" s="219"/>
      <c r="AN180" s="94"/>
      <c r="AO180" s="94"/>
      <c r="AP180" s="94"/>
      <c r="AQ180" s="94"/>
      <c r="AR180" s="94"/>
      <c r="AS180" s="94"/>
    </row>
    <row r="181" spans="15:45" ht="18.75" hidden="1">
      <c r="O181" s="120" t="s">
        <v>372</v>
      </c>
      <c r="P181" s="100"/>
      <c r="Q181" s="100">
        <v>0</v>
      </c>
      <c r="R181" s="100"/>
      <c r="S181" s="100">
        <v>0</v>
      </c>
      <c r="T181" s="217">
        <v>0</v>
      </c>
      <c r="U181" s="218"/>
      <c r="V181" s="219"/>
      <c r="AN181" s="94"/>
      <c r="AO181" s="94"/>
      <c r="AP181" s="94"/>
      <c r="AQ181" s="94"/>
      <c r="AR181" s="94"/>
      <c r="AS181" s="94"/>
    </row>
    <row r="182" spans="15:45" hidden="1">
      <c r="O182" s="120" t="s">
        <v>40</v>
      </c>
      <c r="P182" s="100"/>
      <c r="Q182" s="100">
        <v>26</v>
      </c>
      <c r="R182" s="100"/>
      <c r="S182" s="100">
        <v>16</v>
      </c>
      <c r="T182" s="217">
        <v>11</v>
      </c>
      <c r="U182" s="218"/>
      <c r="V182" s="219"/>
      <c r="AN182" s="94"/>
      <c r="AO182" s="94"/>
      <c r="AP182" s="94"/>
      <c r="AQ182" s="94"/>
      <c r="AR182" s="94"/>
      <c r="AS182" s="94"/>
    </row>
    <row r="183" spans="15:45" hidden="1">
      <c r="O183" s="215" t="s">
        <v>41</v>
      </c>
      <c r="P183" s="216"/>
      <c r="Q183" s="100">
        <v>1.5</v>
      </c>
      <c r="R183" s="100"/>
      <c r="S183" s="100">
        <v>1.5</v>
      </c>
      <c r="T183" s="217">
        <v>2.5</v>
      </c>
      <c r="U183" s="218"/>
      <c r="V183" s="219"/>
      <c r="AN183" s="94"/>
      <c r="AO183" s="94"/>
      <c r="AP183" s="94"/>
      <c r="AQ183" s="94"/>
      <c r="AR183" s="94"/>
      <c r="AS183" s="94"/>
    </row>
    <row r="184" spans="15:45" hidden="1">
      <c r="AN184" s="94"/>
      <c r="AO184" s="94"/>
      <c r="AP184" s="94"/>
      <c r="AQ184" s="94"/>
      <c r="AR184" s="94"/>
      <c r="AS184" s="94"/>
    </row>
    <row r="185" spans="15:45" hidden="1">
      <c r="AN185" s="94"/>
      <c r="AO185" s="94"/>
      <c r="AP185" s="94"/>
      <c r="AQ185" s="94"/>
      <c r="AR185" s="94"/>
      <c r="AS185" s="94"/>
    </row>
    <row r="186" spans="15:45" hidden="1">
      <c r="AN186" s="94"/>
      <c r="AO186" s="94"/>
      <c r="AP186" s="94"/>
      <c r="AQ186" s="94"/>
      <c r="AR186" s="94"/>
      <c r="AS186" s="94"/>
    </row>
    <row r="187" spans="15:45" hidden="1">
      <c r="AN187" s="94"/>
      <c r="AO187" s="94"/>
      <c r="AP187" s="94"/>
      <c r="AQ187" s="94"/>
      <c r="AR187" s="94"/>
      <c r="AS187" s="94"/>
    </row>
    <row r="188" spans="15:45" hidden="1">
      <c r="AN188" s="94"/>
      <c r="AO188" s="94"/>
      <c r="AP188" s="94"/>
      <c r="AQ188" s="94"/>
      <c r="AR188" s="94"/>
      <c r="AS188" s="94"/>
    </row>
    <row r="189" spans="15:45" hidden="1">
      <c r="AN189" s="94"/>
      <c r="AO189" s="94"/>
      <c r="AP189" s="94"/>
      <c r="AQ189" s="94"/>
      <c r="AR189" s="94"/>
      <c r="AS189" s="94"/>
    </row>
    <row r="190" spans="15:45" hidden="1"/>
    <row r="191" spans="15:45" hidden="1"/>
    <row r="192" spans="15:45" hidden="1"/>
    <row r="193" spans="1:25" hidden="1"/>
    <row r="194" spans="1:25" hidden="1"/>
    <row r="195" spans="1:25" hidden="1"/>
    <row r="196" spans="1:25" hidden="1"/>
    <row r="197" spans="1:25" hidden="1"/>
    <row r="198" spans="1:25" hidden="1"/>
    <row r="199" spans="1:25" hidden="1">
      <c r="A199" s="39"/>
      <c r="B199" s="39"/>
      <c r="C199" s="39"/>
      <c r="D199" s="39"/>
      <c r="E199" s="39"/>
      <c r="F199" s="39"/>
      <c r="G199" s="39"/>
      <c r="H199" s="220" t="s">
        <v>118</v>
      </c>
      <c r="I199" s="220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</row>
    <row r="200" spans="1:25" ht="15" hidden="1">
      <c r="A200" s="39"/>
      <c r="B200" s="39"/>
      <c r="C200" s="39"/>
      <c r="D200" s="39"/>
      <c r="E200" s="39"/>
      <c r="F200" s="39"/>
      <c r="G200" s="39"/>
      <c r="H200" s="45" t="s">
        <v>119</v>
      </c>
      <c r="I200" s="45" t="s">
        <v>120</v>
      </c>
      <c r="J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 t="s">
        <v>202</v>
      </c>
      <c r="V200" s="39" t="s">
        <v>202</v>
      </c>
      <c r="W200" s="39" t="s">
        <v>203</v>
      </c>
      <c r="X200" s="39"/>
      <c r="Y200" s="39"/>
    </row>
    <row r="201" spans="1:25" ht="16.5" hidden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8" t="s">
        <v>80</v>
      </c>
      <c r="V201" s="38" t="s">
        <v>373</v>
      </c>
      <c r="W201" s="38" t="s">
        <v>76</v>
      </c>
      <c r="X201" s="39"/>
      <c r="Y201" s="39"/>
    </row>
    <row r="202" spans="1:25" hidden="1">
      <c r="A202" s="94">
        <v>1</v>
      </c>
      <c r="B202" s="95" t="s">
        <v>117</v>
      </c>
      <c r="D202" s="39"/>
      <c r="E202" s="132" t="s">
        <v>204</v>
      </c>
      <c r="F202" s="39"/>
      <c r="G202" s="39"/>
      <c r="H202" s="39" t="s">
        <v>279</v>
      </c>
      <c r="I202" s="39" t="s">
        <v>279</v>
      </c>
      <c r="J202" s="39"/>
      <c r="K202" s="39"/>
      <c r="L202" s="39"/>
      <c r="M202" s="39"/>
      <c r="N202" s="39"/>
      <c r="O202" s="39"/>
      <c r="P202" s="39"/>
      <c r="Q202" s="39"/>
      <c r="R202" s="39"/>
      <c r="S202" s="39">
        <v>100</v>
      </c>
      <c r="T202" s="39" t="s">
        <v>122</v>
      </c>
      <c r="U202" s="39">
        <v>0</v>
      </c>
      <c r="V202" s="39">
        <v>0</v>
      </c>
      <c r="W202" s="39">
        <v>0</v>
      </c>
      <c r="X202" s="39"/>
      <c r="Y202" s="39"/>
    </row>
    <row r="203" spans="1:25" hidden="1">
      <c r="A203" s="94">
        <v>2</v>
      </c>
      <c r="B203" s="95" t="s">
        <v>144</v>
      </c>
      <c r="D203" s="39"/>
      <c r="E203" s="133">
        <v>860</v>
      </c>
      <c r="F203" s="39"/>
      <c r="G203" s="39"/>
      <c r="H203" s="53" t="s">
        <v>108</v>
      </c>
      <c r="I203" s="134">
        <v>1</v>
      </c>
      <c r="J203" s="39">
        <v>0</v>
      </c>
      <c r="K203" s="135" t="s">
        <v>107</v>
      </c>
      <c r="L203" s="39"/>
      <c r="M203" s="135" t="s">
        <v>106</v>
      </c>
      <c r="N203" s="39"/>
      <c r="O203" s="53" t="s">
        <v>50</v>
      </c>
      <c r="P203" s="39"/>
      <c r="Q203" s="39">
        <v>1</v>
      </c>
      <c r="R203" s="39"/>
      <c r="S203" s="120"/>
      <c r="T203" s="53"/>
      <c r="U203" s="54"/>
      <c r="V203" s="54"/>
      <c r="W203" s="54"/>
      <c r="X203" s="39"/>
      <c r="Y203" s="39"/>
    </row>
    <row r="204" spans="1:25" hidden="1">
      <c r="A204" s="94">
        <v>3</v>
      </c>
      <c r="B204" s="95" t="s">
        <v>15</v>
      </c>
      <c r="D204" s="39"/>
      <c r="E204" s="39"/>
      <c r="F204" s="39"/>
      <c r="G204" s="39"/>
      <c r="H204" s="53" t="s">
        <v>105</v>
      </c>
      <c r="I204" s="134">
        <v>2</v>
      </c>
      <c r="J204" s="39">
        <v>0</v>
      </c>
      <c r="K204" s="135" t="s">
        <v>104</v>
      </c>
      <c r="L204" s="39"/>
      <c r="M204" s="135" t="s">
        <v>103</v>
      </c>
      <c r="N204" s="39"/>
      <c r="O204" s="53" t="s">
        <v>49</v>
      </c>
      <c r="P204" s="39"/>
      <c r="Q204" s="39">
        <v>2</v>
      </c>
      <c r="R204" s="39"/>
      <c r="S204" s="120"/>
      <c r="T204" s="53"/>
      <c r="U204" s="54"/>
      <c r="V204" s="54"/>
      <c r="W204" s="54"/>
      <c r="X204" s="39"/>
      <c r="Y204" s="39"/>
    </row>
    <row r="205" spans="1:25" hidden="1">
      <c r="A205" s="94">
        <v>4</v>
      </c>
      <c r="B205" s="95" t="s">
        <v>145</v>
      </c>
      <c r="D205" s="39"/>
      <c r="E205" s="39"/>
      <c r="F205" s="39"/>
      <c r="G205" s="39"/>
      <c r="H205" s="53" t="s">
        <v>102</v>
      </c>
      <c r="I205" s="134">
        <v>3</v>
      </c>
      <c r="J205" s="39"/>
      <c r="K205" s="135" t="s">
        <v>101</v>
      </c>
      <c r="L205" s="39"/>
      <c r="M205" s="135" t="s">
        <v>100</v>
      </c>
      <c r="N205" s="39"/>
      <c r="O205" s="53" t="s">
        <v>82</v>
      </c>
      <c r="P205" s="39"/>
      <c r="Q205" s="39">
        <v>1</v>
      </c>
      <c r="R205" s="39"/>
      <c r="S205" s="120"/>
      <c r="T205" s="53"/>
      <c r="U205" s="54"/>
      <c r="V205" s="54"/>
      <c r="W205" s="54"/>
      <c r="X205" s="39"/>
      <c r="Y205" s="39"/>
    </row>
    <row r="206" spans="1:25" hidden="1">
      <c r="A206" s="94">
        <v>5</v>
      </c>
      <c r="B206" s="95" t="s">
        <v>149</v>
      </c>
      <c r="D206" s="39"/>
      <c r="E206" s="39"/>
      <c r="F206" s="39"/>
      <c r="G206" s="39"/>
      <c r="H206" s="53" t="s">
        <v>99</v>
      </c>
      <c r="I206" s="134">
        <v>4</v>
      </c>
      <c r="J206" s="39"/>
      <c r="K206" s="135" t="s">
        <v>98</v>
      </c>
      <c r="L206" s="39"/>
      <c r="M206" s="135" t="s">
        <v>97</v>
      </c>
      <c r="N206" s="39"/>
      <c r="O206" s="53" t="s">
        <v>81</v>
      </c>
      <c r="P206" s="39"/>
      <c r="Q206" s="39">
        <v>2</v>
      </c>
      <c r="R206" s="39"/>
      <c r="S206" s="120"/>
      <c r="T206" s="53"/>
      <c r="U206" s="54"/>
      <c r="V206" s="54"/>
      <c r="W206" s="54"/>
      <c r="X206" s="39"/>
      <c r="Y206" s="39"/>
    </row>
    <row r="207" spans="1:25" hidden="1">
      <c r="A207" s="94">
        <v>6</v>
      </c>
      <c r="B207" s="95" t="s">
        <v>150</v>
      </c>
      <c r="D207" s="39"/>
      <c r="E207" s="39"/>
      <c r="F207" s="39"/>
      <c r="G207" s="39"/>
      <c r="H207" s="53" t="s">
        <v>129</v>
      </c>
      <c r="I207" s="134">
        <v>5</v>
      </c>
      <c r="J207" s="39"/>
      <c r="K207" s="135" t="s">
        <v>199</v>
      </c>
      <c r="L207" s="39"/>
      <c r="M207" s="135" t="s">
        <v>96</v>
      </c>
      <c r="N207" s="39"/>
      <c r="O207" s="53" t="s">
        <v>79</v>
      </c>
      <c r="P207" s="39"/>
      <c r="Q207" s="39">
        <v>3</v>
      </c>
      <c r="R207" s="39"/>
      <c r="S207" s="120"/>
      <c r="T207" s="53"/>
      <c r="U207" s="54"/>
      <c r="V207" s="54"/>
      <c r="W207" s="54"/>
      <c r="X207" s="39"/>
      <c r="Y207" s="39"/>
    </row>
    <row r="208" spans="1:25" hidden="1">
      <c r="A208" s="94">
        <v>7</v>
      </c>
      <c r="B208" s="95" t="s">
        <v>146</v>
      </c>
      <c r="D208" s="39"/>
      <c r="E208" s="39"/>
      <c r="F208" s="39"/>
      <c r="G208" s="39"/>
      <c r="H208" s="53" t="s">
        <v>130</v>
      </c>
      <c r="I208" s="134">
        <v>6</v>
      </c>
      <c r="J208" s="39"/>
      <c r="K208" s="135" t="s">
        <v>135</v>
      </c>
      <c r="L208" s="39"/>
      <c r="M208" s="135" t="s">
        <v>95</v>
      </c>
      <c r="N208" s="39"/>
      <c r="O208" s="53" t="s">
        <v>78</v>
      </c>
      <c r="P208" s="39"/>
      <c r="Q208" s="39">
        <v>1</v>
      </c>
      <c r="R208" s="39"/>
      <c r="S208" s="120"/>
      <c r="T208" s="53"/>
      <c r="U208" s="54"/>
      <c r="V208" s="54"/>
      <c r="W208" s="54"/>
      <c r="X208" s="39"/>
      <c r="Y208" s="39"/>
    </row>
    <row r="209" spans="1:25" hidden="1">
      <c r="A209" s="136">
        <v>8</v>
      </c>
      <c r="B209" s="95" t="s">
        <v>278</v>
      </c>
      <c r="C209" s="39"/>
      <c r="D209" s="39"/>
      <c r="E209" s="39"/>
      <c r="F209" s="39"/>
      <c r="G209" s="39"/>
      <c r="H209" s="53" t="s">
        <v>131</v>
      </c>
      <c r="I209" s="134">
        <v>7</v>
      </c>
      <c r="J209" s="39"/>
      <c r="K209" s="135" t="s">
        <v>136</v>
      </c>
      <c r="L209" s="39"/>
      <c r="M209" s="135" t="s">
        <v>94</v>
      </c>
      <c r="N209" s="39"/>
      <c r="O209" s="53" t="s">
        <v>77</v>
      </c>
      <c r="P209" s="39"/>
      <c r="Q209" s="39">
        <v>2</v>
      </c>
      <c r="R209" s="39"/>
      <c r="S209" s="120"/>
      <c r="T209" s="53"/>
      <c r="U209" s="54"/>
      <c r="V209" s="54"/>
      <c r="W209" s="54"/>
      <c r="X209" s="39"/>
      <c r="Y209" s="39"/>
    </row>
    <row r="210" spans="1:25" hidden="1">
      <c r="A210" s="136">
        <v>9</v>
      </c>
      <c r="B210" s="95" t="s">
        <v>302</v>
      </c>
      <c r="C210" s="39"/>
      <c r="D210" s="39"/>
      <c r="E210" s="39"/>
      <c r="F210" s="39"/>
      <c r="G210" s="39"/>
      <c r="H210" s="53" t="s">
        <v>132</v>
      </c>
      <c r="I210" s="134">
        <v>8</v>
      </c>
      <c r="J210" s="39"/>
      <c r="K210" s="135" t="s">
        <v>137</v>
      </c>
      <c r="L210" s="39"/>
      <c r="M210" s="135" t="s">
        <v>93</v>
      </c>
      <c r="N210" s="39"/>
      <c r="O210" s="53" t="s">
        <v>75</v>
      </c>
      <c r="P210" s="39"/>
      <c r="Q210" s="39">
        <v>3</v>
      </c>
      <c r="R210" s="39"/>
      <c r="S210" s="120"/>
      <c r="T210" s="53"/>
      <c r="U210" s="54"/>
      <c r="V210" s="54"/>
      <c r="W210" s="54"/>
      <c r="X210" s="39"/>
      <c r="Y210" s="39"/>
    </row>
    <row r="211" spans="1:25" hidden="1">
      <c r="A211" s="39"/>
      <c r="B211" s="39"/>
      <c r="C211" s="39"/>
      <c r="D211" s="39"/>
      <c r="E211" s="39"/>
      <c r="F211" s="39"/>
      <c r="G211" s="39"/>
      <c r="H211" s="53" t="s">
        <v>92</v>
      </c>
      <c r="I211" s="134">
        <v>9</v>
      </c>
      <c r="J211" s="39"/>
      <c r="K211" s="135" t="s">
        <v>138</v>
      </c>
      <c r="L211" s="39"/>
      <c r="M211" s="135" t="s">
        <v>91</v>
      </c>
      <c r="N211" s="39"/>
      <c r="O211" s="53" t="s">
        <v>74</v>
      </c>
      <c r="P211" s="39"/>
      <c r="Q211" s="39">
        <v>4</v>
      </c>
      <c r="R211" s="39"/>
      <c r="S211" s="120"/>
      <c r="T211" s="53"/>
      <c r="U211" s="54"/>
      <c r="V211" s="54"/>
      <c r="W211" s="54"/>
      <c r="X211" s="39"/>
      <c r="Y211" s="39"/>
    </row>
    <row r="212" spans="1:25" hidden="1">
      <c r="A212" s="39"/>
      <c r="B212" s="39"/>
      <c r="C212" s="39"/>
      <c r="D212" s="39"/>
      <c r="E212" s="39"/>
      <c r="F212" s="39"/>
      <c r="G212" s="39"/>
      <c r="H212" s="53" t="s">
        <v>254</v>
      </c>
      <c r="I212" s="134">
        <v>10</v>
      </c>
      <c r="J212" s="39"/>
      <c r="K212" s="135" t="s">
        <v>253</v>
      </c>
      <c r="L212" s="39"/>
      <c r="M212" s="135" t="s">
        <v>90</v>
      </c>
      <c r="N212" s="39"/>
      <c r="O212" s="53"/>
      <c r="P212" s="39"/>
      <c r="Q212" s="39"/>
      <c r="R212" s="39"/>
      <c r="S212" s="120"/>
      <c r="T212" s="53"/>
      <c r="U212" s="54"/>
      <c r="V212" s="54"/>
      <c r="W212" s="54"/>
      <c r="X212" s="39"/>
      <c r="Y212" s="39"/>
    </row>
    <row r="213" spans="1:25" hidden="1">
      <c r="A213" s="39"/>
      <c r="B213" s="39"/>
      <c r="C213" s="39"/>
      <c r="D213" s="39"/>
      <c r="E213" s="39"/>
      <c r="F213" s="39"/>
      <c r="G213" s="39"/>
      <c r="H213" s="53" t="s">
        <v>133</v>
      </c>
      <c r="I213" s="134">
        <v>11</v>
      </c>
      <c r="J213" s="39"/>
      <c r="K213" s="135" t="s">
        <v>256</v>
      </c>
      <c r="L213" s="39"/>
      <c r="M213" s="135" t="s">
        <v>89</v>
      </c>
      <c r="N213" s="39"/>
      <c r="O213" s="53" t="s">
        <v>140</v>
      </c>
      <c r="P213" s="39"/>
      <c r="Q213" s="39">
        <v>4</v>
      </c>
      <c r="R213" s="39"/>
      <c r="S213" s="120"/>
      <c r="T213" s="53"/>
      <c r="U213" s="54"/>
      <c r="V213" s="54"/>
      <c r="W213" s="54"/>
      <c r="X213" s="39"/>
      <c r="Y213" s="39"/>
    </row>
    <row r="214" spans="1:25" hidden="1">
      <c r="A214" s="39"/>
      <c r="B214" s="39"/>
      <c r="C214" s="39"/>
      <c r="D214" s="39"/>
      <c r="E214" s="39"/>
      <c r="F214" s="39"/>
      <c r="G214" s="39"/>
      <c r="H214" s="53" t="s">
        <v>134</v>
      </c>
      <c r="I214" s="134">
        <v>12</v>
      </c>
      <c r="J214" s="39"/>
      <c r="K214" s="135" t="s">
        <v>257</v>
      </c>
      <c r="L214" s="39"/>
      <c r="M214" s="135" t="s">
        <v>87</v>
      </c>
      <c r="N214" s="39"/>
      <c r="O214" s="53" t="s">
        <v>73</v>
      </c>
      <c r="P214" s="39"/>
      <c r="Q214" s="39">
        <v>5</v>
      </c>
      <c r="R214" s="39"/>
      <c r="S214" s="120"/>
      <c r="T214" s="53"/>
      <c r="U214" s="54"/>
      <c r="V214" s="54"/>
      <c r="W214" s="54"/>
      <c r="X214" s="39"/>
      <c r="Y214" s="39"/>
    </row>
    <row r="215" spans="1:25" hidden="1">
      <c r="A215" s="39"/>
      <c r="B215" s="39"/>
      <c r="C215" s="39"/>
      <c r="D215" s="39"/>
      <c r="E215" s="39"/>
      <c r="F215" s="39"/>
      <c r="G215" s="39"/>
      <c r="H215" s="53" t="s">
        <v>88</v>
      </c>
      <c r="I215" s="134">
        <v>13</v>
      </c>
      <c r="J215" s="39"/>
      <c r="K215" s="135" t="s">
        <v>258</v>
      </c>
      <c r="L215" s="39"/>
      <c r="M215" s="135" t="s">
        <v>85</v>
      </c>
      <c r="N215" s="39"/>
      <c r="O215" s="53" t="s">
        <v>72</v>
      </c>
      <c r="P215" s="39"/>
      <c r="Q215" s="39">
        <v>6</v>
      </c>
      <c r="R215" s="39"/>
      <c r="S215" s="120"/>
      <c r="T215" s="53"/>
      <c r="U215" s="54"/>
      <c r="V215" s="54"/>
      <c r="W215" s="54"/>
      <c r="X215" s="39"/>
      <c r="Y215" s="39"/>
    </row>
    <row r="216" spans="1:25" hidden="1">
      <c r="A216" s="39"/>
      <c r="B216" s="39"/>
      <c r="C216" s="39"/>
      <c r="D216" s="39"/>
      <c r="E216" s="39"/>
      <c r="F216" s="39"/>
      <c r="G216" s="39"/>
      <c r="H216" s="53"/>
      <c r="I216" s="134">
        <v>14</v>
      </c>
      <c r="J216" s="39"/>
      <c r="K216" s="135" t="s">
        <v>285</v>
      </c>
      <c r="L216" s="39"/>
      <c r="M216" s="135" t="s">
        <v>83</v>
      </c>
      <c r="N216" s="39"/>
      <c r="O216" s="53"/>
      <c r="P216" s="39"/>
      <c r="Q216" s="39"/>
      <c r="R216" s="39"/>
      <c r="S216" s="120"/>
      <c r="T216" s="53"/>
      <c r="U216" s="54"/>
      <c r="V216" s="54"/>
      <c r="W216" s="54"/>
      <c r="X216" s="39"/>
      <c r="Y216" s="39"/>
    </row>
    <row r="217" spans="1:25" hidden="1">
      <c r="A217" s="39"/>
      <c r="B217" s="39"/>
      <c r="C217" s="39"/>
      <c r="D217" s="39"/>
      <c r="E217" s="39"/>
      <c r="F217" s="39"/>
      <c r="G217" s="39"/>
      <c r="H217" s="53"/>
      <c r="I217" s="134">
        <v>15</v>
      </c>
      <c r="J217" s="39"/>
      <c r="K217" s="135" t="s">
        <v>286</v>
      </c>
      <c r="L217" s="39"/>
      <c r="M217" s="135" t="s">
        <v>255</v>
      </c>
      <c r="N217" s="39"/>
      <c r="O217" s="53"/>
      <c r="P217" s="39"/>
      <c r="Q217" s="39"/>
      <c r="R217" s="39"/>
      <c r="S217" s="120"/>
      <c r="T217" s="53"/>
      <c r="U217" s="54"/>
      <c r="V217" s="54"/>
      <c r="W217" s="54"/>
      <c r="X217" s="39"/>
      <c r="Y217" s="39"/>
    </row>
    <row r="218" spans="1:25" hidden="1">
      <c r="A218" s="39"/>
      <c r="B218" s="39"/>
      <c r="C218" s="39"/>
      <c r="D218" s="39"/>
      <c r="E218" s="39"/>
      <c r="F218" s="39"/>
      <c r="G218" s="39"/>
      <c r="H218" s="53" t="s">
        <v>86</v>
      </c>
      <c r="I218" s="134">
        <v>16</v>
      </c>
      <c r="J218" s="39"/>
      <c r="K218" s="135" t="s">
        <v>281</v>
      </c>
      <c r="L218" s="39"/>
      <c r="M218" s="135" t="s">
        <v>283</v>
      </c>
      <c r="N218" s="39"/>
      <c r="O218" s="53" t="s">
        <v>139</v>
      </c>
      <c r="P218" s="39"/>
      <c r="Q218" s="39">
        <v>7</v>
      </c>
      <c r="R218" s="39"/>
      <c r="S218" s="120"/>
      <c r="T218" s="53"/>
      <c r="U218" s="54"/>
      <c r="V218" s="54"/>
      <c r="W218" s="54"/>
      <c r="X218" s="39"/>
      <c r="Y218" s="39"/>
    </row>
    <row r="219" spans="1:25" ht="15" hidden="1">
      <c r="A219" s="39"/>
      <c r="B219" s="45" t="s">
        <v>44</v>
      </c>
      <c r="C219" s="39"/>
      <c r="D219" s="45" t="s">
        <v>45</v>
      </c>
      <c r="E219" s="39"/>
      <c r="F219" s="39"/>
      <c r="G219" s="39"/>
      <c r="H219" s="53" t="s">
        <v>84</v>
      </c>
      <c r="I219" s="134">
        <v>17</v>
      </c>
      <c r="J219" s="39"/>
      <c r="K219" s="135" t="s">
        <v>282</v>
      </c>
      <c r="L219" s="39"/>
      <c r="M219" s="135" t="s">
        <v>284</v>
      </c>
      <c r="N219" s="39"/>
      <c r="O219" s="53" t="s">
        <v>68</v>
      </c>
      <c r="P219" s="39"/>
      <c r="Q219" s="39">
        <v>8</v>
      </c>
      <c r="R219" s="39"/>
      <c r="S219" s="120"/>
      <c r="T219" s="53"/>
      <c r="U219" s="54"/>
      <c r="V219" s="54"/>
      <c r="W219" s="54"/>
      <c r="X219" s="39"/>
      <c r="Y219" s="39"/>
    </row>
    <row r="220" spans="1:25" hidden="1">
      <c r="A220" s="39"/>
      <c r="B220" s="39" t="str">
        <f>IF(OR(C13=B202,C13=B210),"0",IF(C13=B203,"1",IF(C13=B204,"16",IF(C13=B205,"4",IF(C13=B206,"14",IF(C13=B207,"14",IF(C13=B208,"16","")))))))</f>
        <v/>
      </c>
      <c r="C220" s="39"/>
      <c r="D220" s="39" t="str">
        <f>IF(OR(E13=B202,E13=B210),"0",IF(E13=B203,"1",IF(E13=B204,"16",IF(E13=B205,"4",IF(E13=B206,"14",IF(E13=B207,"14",IF(E13=B208,"16",IF(E13=B209,"8",""))))))))</f>
        <v/>
      </c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53" t="s">
        <v>65</v>
      </c>
      <c r="P220" s="39"/>
      <c r="Q220" s="39">
        <v>9</v>
      </c>
      <c r="R220" s="39"/>
      <c r="S220" s="120"/>
      <c r="T220" s="53"/>
      <c r="U220" s="54"/>
      <c r="V220" s="54"/>
      <c r="W220" s="54"/>
      <c r="X220" s="39"/>
      <c r="Y220" s="39"/>
    </row>
    <row r="221" spans="1:25" ht="15" hidden="1">
      <c r="A221" s="39"/>
      <c r="B221" s="39" t="str">
        <f>IF(B220="1",K203,IF(B220="16",K218,IF(B220="0",H202,IF(B220="14",K216,IF(B220="4",K216,"")))))</f>
        <v/>
      </c>
      <c r="C221" s="39"/>
      <c r="D221" s="39" t="str">
        <f>IF($D$220="1",K203,IF(D220="14",K216,IF(D220="0",H202,IF(D220="8",I202,IF(D220="16",K218,IF(D220="4",K216,""))))))</f>
        <v/>
      </c>
      <c r="E221" s="39"/>
      <c r="F221" s="39"/>
      <c r="G221" s="39"/>
      <c r="H221" s="45" t="s">
        <v>44</v>
      </c>
      <c r="I221" s="39">
        <v>100</v>
      </c>
      <c r="J221" s="137" t="s">
        <v>45</v>
      </c>
      <c r="K221" s="39"/>
      <c r="L221" s="39"/>
      <c r="M221" s="39"/>
      <c r="N221" s="39"/>
      <c r="O221" s="53" t="s">
        <v>62</v>
      </c>
      <c r="P221" s="39"/>
      <c r="Q221" s="39">
        <v>10</v>
      </c>
      <c r="R221" s="39"/>
      <c r="S221" s="120"/>
      <c r="T221" s="53"/>
      <c r="U221" s="54"/>
      <c r="V221" s="54"/>
      <c r="W221" s="54"/>
      <c r="X221" s="39"/>
      <c r="Y221" s="39"/>
    </row>
    <row r="222" spans="1:25" hidden="1">
      <c r="A222" s="39"/>
      <c r="B222" s="39" t="str">
        <f>IF($B$220="1",K204,IF(B220="14",K217,IF(B220="4",K217,"")))</f>
        <v/>
      </c>
      <c r="C222" s="39"/>
      <c r="D222" s="39" t="str">
        <f>IF($D$220="1",K204,IF(D220="14",K217,IF(D220="4",K217,"")))</f>
        <v/>
      </c>
      <c r="E222" s="39"/>
      <c r="F222" s="39"/>
      <c r="G222" s="39" t="s">
        <v>200</v>
      </c>
      <c r="H222" s="39" t="str">
        <f>IF(C40=H202,J203,IF(C40=K203,I203,IF(C40=K204,I204,IF(C40=K205,I205,IF(C40=K206,I206,IF(C40=K207,I207,IF(C40=K208,I208,IF(C40=K209,I209,IF(C40=K210,I210,IF(C40=K211,I211,IF(C40=K212,I212,IF(C40=K213,I213,IF(C40=K214,I214,IF(C40=K215,I215,IF(C40=K218,I218,IF(C40=K219,I219,IF(C40=K216,I216,IF(C40=K217,I217,""))))))))))))))))))</f>
        <v/>
      </c>
      <c r="I222" s="39"/>
      <c r="J222" s="138" t="str">
        <f>IF(E40=H202,J203,IF(E40=K203,I203,IF(E40=K204,I204,IF(E40=K205,I205,IF(E40=K206,I206,IF(E40=K207,I207,IF(E40=K208,I208,IF(E40=K209,I209,IF(E40=K210,I210,IF(E40=K211,I211,IF(E40=K212,I212,IF(E40=K213,I213,IF(E40=K214,I214,IF(E40=K215,I215,IF(E40=K218,I218,IF(E40=K219,I219,IF(E40=I202,J204,IF(E40=K216,I216,IF(E40=K217,I217,"")))))))))))))))))))</f>
        <v/>
      </c>
      <c r="K222" s="39"/>
      <c r="L222" s="39"/>
      <c r="M222" s="39"/>
      <c r="N222" s="39"/>
      <c r="O222" s="53" t="s">
        <v>61</v>
      </c>
      <c r="P222" s="39"/>
      <c r="Q222" s="39">
        <v>11</v>
      </c>
      <c r="R222" s="39"/>
      <c r="S222" s="120"/>
      <c r="T222" s="53"/>
      <c r="U222" s="54"/>
      <c r="V222" s="54"/>
      <c r="W222" s="54"/>
      <c r="X222" s="39"/>
      <c r="Y222" s="39"/>
    </row>
    <row r="223" spans="1:25" hidden="1">
      <c r="A223" s="39"/>
      <c r="B223" s="39" t="str">
        <f>IF($B$220="1",K205,IF(B220="4",K218,""))</f>
        <v/>
      </c>
      <c r="C223" s="39"/>
      <c r="D223" s="39" t="str">
        <f>IF($D$220="1",K205,IF(D220="4",K218,""))</f>
        <v/>
      </c>
      <c r="E223" s="39"/>
      <c r="F223" s="39" t="s">
        <v>201</v>
      </c>
      <c r="H223" s="39" t="str">
        <f>IF(C41=O203,(H222*I221)+Q203,IF(C41=O205,(H222*I221)+Q205,IF(C41=O204,(H222*I221)+Q204,IF(C41=O206,(H222*I221)+Q206,IF(C41=O207,(H222*I221)+Q207,IF(C41=O208,(H222*I221)+Q208,IF(C41=O209,(H222*I221)+Q209,IF(C41=O210,(H222*I221)+Q210,IF(C41=O211,(H222*I221)+Q211,IF(C41=O213,(H222*I221)+Q213,IF(C41=O214,(H222*I221)+Q214,IF(C41=O215,(H222*I221)+Q215,IF(C41=O218,(H222*I221)+Q218,IF(C41=O219,(H222*I221)+Q219,IF(C41=O220,(H222*I221)+Q220,IF(C41=O221,(H222*I221)+Q221,IF(C41=O222,(H222*I221)+Q222,IF(C41=O223,(H222*I221)+Q223,IF(C41=O224,(H222*I221)+Q224,IF(C41=O225,(H222*I221)+Q225,IF(C41=O226,(H222*I221)+Q226,IF(C41=O227,(H222*I221)+Q227,IF(C41=O228,(H222*I221)+Q228,IF(C41=O229,(H222*I221)+Q229,IF(C41=O230,(H222*I221)+Q230,IF(C41=O231,(H222*I221)+Q231,IF(C41=O232,(H222*I221)+Q232,"")))))))))))))))))))))))))))</f>
        <v/>
      </c>
      <c r="I223" s="39"/>
      <c r="J223" s="138" t="str">
        <f>IF(E41=O203,(J222*I221)+Q203,IF(E41=O205,(J222*I221)+Q205,IF(E41=O204,(J222*I221)+Q204,IF(E41=O206,(J222*I221)+Q206,IF(E41=O207,(J222*I221)+Q207,IF(E41=O208,(J222*I221)+Q208,IF(E41=O209,(J222*I221)+Q209,IF(E41=O210,(J222*I221)+Q210,IF(E41=O211,(J222*I221)+Q211,IF(E41=O213,(J222*I221)+Q213,IF(E41=O214,(J222*I221)+Q214,IF(E41=O215,(J222*I221)+Q215,IF(E41=O218,(J222*I221)+Q218,IF(E41=O219,(J222*I221)+Q219,IF(E41=O220,(J222*I221)+Q220,IF(E41=O221,(J222*I221)+Q221,IF(E41=O222,(J222*I221)+Q222,IF(E41=O223,(J222*I221)+Q223,IF(E41=O224,(J222*I221)+Q224,IF(E41=O225,(J222*I221)+Q225,IF(E41=O226,(J222*I221)+Q226,IF(E41=O227,(J222*I221)+Q227,IF(E41=O228,(J222*I221)+Q228,IF(E41=O229,(J222*I221)+Q229,IF(E41=O230,(J222*I221)+Q230,IF(E41=O231,(J222*I221)+Q231,IF(E41=O232,(J222*I221)+Q232,"")))))))))))))))))))))))))))</f>
        <v/>
      </c>
      <c r="K223" s="39"/>
      <c r="L223" s="39"/>
      <c r="M223" s="39"/>
      <c r="N223" s="39"/>
      <c r="O223" s="53" t="s">
        <v>60</v>
      </c>
      <c r="P223" s="39"/>
      <c r="Q223" s="39">
        <v>12</v>
      </c>
      <c r="R223" s="39"/>
      <c r="S223" s="120"/>
      <c r="T223" s="53"/>
      <c r="U223" s="54"/>
      <c r="V223" s="54"/>
      <c r="W223" s="54"/>
      <c r="X223" s="39"/>
      <c r="Y223" s="39"/>
    </row>
    <row r="224" spans="1:25" hidden="1">
      <c r="A224" s="39"/>
      <c r="B224" s="39" t="str">
        <f t="shared" ref="B224:B233" si="2">IF($B$220="1",K206,"")</f>
        <v/>
      </c>
      <c r="C224" s="39"/>
      <c r="D224" s="39" t="str">
        <f t="shared" ref="D224:D233" si="3">IF($D$220="1",K206,"")</f>
        <v/>
      </c>
      <c r="E224" s="39"/>
      <c r="F224" s="39"/>
      <c r="G224" s="39"/>
      <c r="H224" s="39" t="str">
        <f>IF($H$222=J203,H202,IF($H$222=I203,O203,IF(H222=I204,O203,IF(H222=I205,O203,IF(H222=I206,O203,IF(H222=I207,O203,IF(H222=I208,O203,IF(H222=I209,O203,IF(H222=I210,O203,IF(H222=I211,O203,IF(H222=I212,O203,IF(H222=I213,O203,IF(H222=I214,O203,IF(H222=I215,O203,IF(H222=I218,O205,IF(H222=I219,O203,""))))))))))))))))</f>
        <v/>
      </c>
      <c r="I224" s="39"/>
      <c r="J224" s="138" t="str">
        <f>IF($J$222=J203,H202,IF($J$222=I203,O203,IF(J222=I204,O203,IF(J222=I205,O203,IF(J222=I206,O203,IF(J222=I207,O203,IF(J222=I208,O203,IF(J222=I209,O203,IF(J222=I210,O203,IF(J222=I211,O203,IF(J222=I212,O203,IF(J222=I213,O203,IF(J222=I214,O203,IF(J222=I215,O203,IF(J222=I218,O205,IF(J222=I219,O203,IF(J222=J204,I202,"")))))))))))))))))</f>
        <v/>
      </c>
      <c r="K224" s="39"/>
      <c r="L224" s="39"/>
      <c r="M224" s="39"/>
      <c r="N224" s="39"/>
      <c r="O224" s="53" t="s">
        <v>59</v>
      </c>
      <c r="P224" s="39"/>
      <c r="Q224" s="39">
        <v>13</v>
      </c>
      <c r="R224" s="39"/>
      <c r="S224" s="120"/>
      <c r="T224" s="53"/>
      <c r="U224" s="54"/>
      <c r="V224" s="54"/>
      <c r="W224" s="54"/>
      <c r="X224" s="39"/>
      <c r="Y224" s="39"/>
    </row>
    <row r="225" spans="1:25" hidden="1">
      <c r="A225" s="39"/>
      <c r="B225" s="39" t="str">
        <f t="shared" si="2"/>
        <v/>
      </c>
      <c r="C225" s="39"/>
      <c r="D225" s="39" t="str">
        <f t="shared" si="3"/>
        <v/>
      </c>
      <c r="E225" s="39"/>
      <c r="F225" s="39"/>
      <c r="G225" s="39"/>
      <c r="H225" s="39" t="str">
        <f>IF($H$222=1,O204,IF($H$222=2," ",IF($H$222=3,O204,IF($H$222&lt;10," ",IF($H$222&lt;14,O204,IF($H$222=16,O206,IF(H222=I219,O204,"")))))))</f>
        <v/>
      </c>
      <c r="I225" s="39"/>
      <c r="J225" s="138" t="str">
        <f>IF($J$222=1,O204,IF($J$222=2," ",IF($J$222=3,O204,IF($J$222&lt;10," ",IF($J$222&lt;14,O204,IF($J$222=16,O206,IF(J222=I219,O204,"")))))))</f>
        <v/>
      </c>
      <c r="K225" s="39"/>
      <c r="L225" s="39"/>
      <c r="M225" s="39"/>
      <c r="N225" s="39"/>
      <c r="O225" s="53" t="s">
        <v>58</v>
      </c>
      <c r="P225" s="39"/>
      <c r="Q225" s="39">
        <v>14</v>
      </c>
      <c r="R225" s="39"/>
      <c r="S225" s="120"/>
      <c r="T225" s="53"/>
      <c r="U225" s="54"/>
      <c r="V225" s="54"/>
      <c r="W225" s="54"/>
      <c r="X225" s="39"/>
      <c r="Y225" s="39"/>
    </row>
    <row r="226" spans="1:25" hidden="1">
      <c r="A226" s="39"/>
      <c r="B226" s="39" t="str">
        <f t="shared" si="2"/>
        <v/>
      </c>
      <c r="C226" s="39"/>
      <c r="D226" s="39" t="str">
        <f t="shared" si="3"/>
        <v/>
      </c>
      <c r="E226" s="39"/>
      <c r="F226" s="39"/>
      <c r="G226" s="39"/>
      <c r="H226" s="39" t="str">
        <f>IF($H$222=16,O207,"")</f>
        <v/>
      </c>
      <c r="I226" s="39"/>
      <c r="J226" s="138" t="str">
        <f>IF($J$222=16,O207,"")</f>
        <v/>
      </c>
      <c r="K226" s="39"/>
      <c r="L226" s="39"/>
      <c r="M226" s="39"/>
      <c r="N226" s="39"/>
      <c r="O226" s="53" t="s">
        <v>57</v>
      </c>
      <c r="P226" s="39"/>
      <c r="Q226" s="39">
        <v>15</v>
      </c>
      <c r="R226" s="39"/>
      <c r="S226" s="120"/>
      <c r="T226" s="53"/>
      <c r="U226" s="54"/>
      <c r="V226" s="54"/>
      <c r="W226" s="54"/>
      <c r="X226" s="39"/>
      <c r="Y226" s="39"/>
    </row>
    <row r="227" spans="1:25" hidden="1">
      <c r="A227" s="39"/>
      <c r="B227" s="39" t="str">
        <f t="shared" si="2"/>
        <v/>
      </c>
      <c r="C227" s="39"/>
      <c r="D227" s="39" t="str">
        <f t="shared" si="3"/>
        <v/>
      </c>
      <c r="E227" s="39"/>
      <c r="F227" s="39"/>
      <c r="G227" s="39"/>
      <c r="H227" s="39" t="str">
        <f>IF($H$222=14,O208,IF(H222=15,O208,""))</f>
        <v/>
      </c>
      <c r="I227" s="39"/>
      <c r="J227" s="138" t="str">
        <f>IF($J$222=14,O208,IF(J222=15,O208,""))</f>
        <v/>
      </c>
      <c r="K227" s="39"/>
      <c r="L227" s="39"/>
      <c r="M227" s="39"/>
      <c r="N227" s="39"/>
      <c r="O227" s="53" t="s">
        <v>56</v>
      </c>
      <c r="P227" s="39"/>
      <c r="Q227" s="39">
        <v>16</v>
      </c>
      <c r="R227" s="39"/>
      <c r="S227" s="120"/>
      <c r="T227" s="53"/>
      <c r="U227" s="54"/>
      <c r="V227" s="54"/>
      <c r="W227" s="54"/>
      <c r="X227" s="39"/>
      <c r="Y227" s="39"/>
    </row>
    <row r="228" spans="1:25" hidden="1">
      <c r="A228" s="39"/>
      <c r="B228" s="39" t="str">
        <f t="shared" si="2"/>
        <v/>
      </c>
      <c r="C228" s="39"/>
      <c r="D228" s="39" t="str">
        <f t="shared" si="3"/>
        <v/>
      </c>
      <c r="E228" s="39"/>
      <c r="F228" s="39"/>
      <c r="G228" s="39"/>
      <c r="H228" s="39" t="str">
        <f>IF($H$222=14,O209,IF(H222=15,O209,""))</f>
        <v/>
      </c>
      <c r="I228" s="39"/>
      <c r="J228" s="138" t="str">
        <f>IF($J$222=14,O209,IF(J222=15,O209,""))</f>
        <v/>
      </c>
      <c r="K228" s="39"/>
      <c r="L228" s="39"/>
      <c r="M228" s="39"/>
      <c r="N228" s="39"/>
      <c r="O228" s="53" t="s">
        <v>55</v>
      </c>
      <c r="P228" s="39"/>
      <c r="Q228" s="39">
        <v>5</v>
      </c>
      <c r="R228" s="39"/>
      <c r="S228" s="120"/>
      <c r="T228" s="53"/>
      <c r="U228" s="54"/>
      <c r="V228" s="54"/>
      <c r="W228" s="54"/>
      <c r="X228" s="39"/>
      <c r="Y228" s="39"/>
    </row>
    <row r="229" spans="1:25" hidden="1">
      <c r="A229" s="39"/>
      <c r="B229" s="39" t="str">
        <f t="shared" si="2"/>
        <v/>
      </c>
      <c r="C229" s="39"/>
      <c r="D229" s="39" t="str">
        <f t="shared" si="3"/>
        <v/>
      </c>
      <c r="E229" s="39"/>
      <c r="F229" s="39"/>
      <c r="G229" s="39"/>
      <c r="H229" s="39" t="str">
        <f>IF($H$222=14,O210,IF(H222=15,O210,""))</f>
        <v/>
      </c>
      <c r="I229" s="39"/>
      <c r="J229" s="138" t="str">
        <f>IF($J$222=14,O210,IF(J222=15,O210,""))</f>
        <v/>
      </c>
      <c r="K229" s="39"/>
      <c r="L229" s="39"/>
      <c r="M229" s="39"/>
      <c r="N229" s="39"/>
      <c r="O229" s="53" t="s">
        <v>54</v>
      </c>
      <c r="P229" s="39"/>
      <c r="Q229" s="39">
        <v>17</v>
      </c>
      <c r="R229" s="39"/>
      <c r="S229" s="120"/>
      <c r="T229" s="53"/>
      <c r="U229" s="54"/>
      <c r="V229" s="54"/>
      <c r="W229" s="54"/>
      <c r="X229" s="39"/>
      <c r="Y229" s="39"/>
    </row>
    <row r="230" spans="1:25" hidden="1">
      <c r="A230" s="39"/>
      <c r="B230" s="39" t="str">
        <f t="shared" si="2"/>
        <v/>
      </c>
      <c r="C230" s="39"/>
      <c r="D230" s="39" t="str">
        <f t="shared" si="3"/>
        <v/>
      </c>
      <c r="E230" s="39"/>
      <c r="F230" s="39"/>
      <c r="G230" s="39"/>
      <c r="H230" s="39" t="str">
        <f>IF($H$222=14,O211,IF(H222=15,O211,""))</f>
        <v/>
      </c>
      <c r="I230" s="39"/>
      <c r="J230" s="138" t="str">
        <f>IF($J$222=14,O211,IF(J222=15,O211,""))</f>
        <v/>
      </c>
      <c r="K230" s="39"/>
      <c r="L230" s="39"/>
      <c r="M230" s="39"/>
      <c r="N230" s="39"/>
      <c r="O230" s="53" t="s">
        <v>53</v>
      </c>
      <c r="P230" s="39"/>
      <c r="Q230" s="39">
        <v>18</v>
      </c>
      <c r="R230" s="39"/>
      <c r="S230" s="120"/>
      <c r="T230" s="53"/>
      <c r="U230" s="54"/>
      <c r="V230" s="54"/>
      <c r="W230" s="54"/>
      <c r="X230" s="39"/>
      <c r="Y230" s="39"/>
    </row>
    <row r="231" spans="1:25" hidden="1">
      <c r="A231" s="39"/>
      <c r="B231" s="39" t="str">
        <f t="shared" si="2"/>
        <v/>
      </c>
      <c r="C231" s="39"/>
      <c r="D231" s="39" t="str">
        <f t="shared" si="3"/>
        <v/>
      </c>
      <c r="E231" s="39"/>
      <c r="F231" s="39"/>
      <c r="G231" s="39"/>
      <c r="H231" s="39" t="str">
        <f>IF($H$222=16,O213,IF($H$222=14,O228,IF($H$222=15,O228,"")))</f>
        <v/>
      </c>
      <c r="I231" s="39"/>
      <c r="J231" s="138" t="str">
        <f>IF($J$222=16,O213,IF($J$222=14,O228,IF($J$222=15,O228,"")))</f>
        <v/>
      </c>
      <c r="K231" s="39"/>
      <c r="L231" s="39"/>
      <c r="M231" s="39"/>
      <c r="N231" s="39"/>
      <c r="O231" s="53" t="s">
        <v>52</v>
      </c>
      <c r="P231" s="39"/>
      <c r="Q231" s="39">
        <v>19</v>
      </c>
      <c r="R231" s="39"/>
      <c r="S231" s="120"/>
      <c r="T231" s="53"/>
      <c r="U231" s="54"/>
      <c r="V231" s="54"/>
      <c r="W231" s="54"/>
      <c r="X231" s="39"/>
      <c r="Y231" s="39"/>
    </row>
    <row r="232" spans="1:25" hidden="1">
      <c r="A232" s="39"/>
      <c r="B232" s="39" t="str">
        <f t="shared" si="2"/>
        <v/>
      </c>
      <c r="C232" s="39"/>
      <c r="D232" s="39" t="str">
        <f t="shared" si="3"/>
        <v/>
      </c>
      <c r="E232" s="39"/>
      <c r="F232" s="39"/>
      <c r="G232" s="39"/>
      <c r="H232" s="39" t="str">
        <f>IF($H$222=16,O214,"")</f>
        <v/>
      </c>
      <c r="I232" s="39"/>
      <c r="J232" s="138" t="str">
        <f>IF($J$222=16,O214,"")</f>
        <v/>
      </c>
      <c r="K232" s="39"/>
      <c r="L232" s="39"/>
      <c r="M232" s="39"/>
      <c r="N232" s="39"/>
      <c r="O232" s="139" t="s">
        <v>51</v>
      </c>
      <c r="P232" s="39"/>
      <c r="Q232" s="39">
        <v>20</v>
      </c>
      <c r="R232" s="39"/>
      <c r="S232" s="120"/>
      <c r="T232" s="53"/>
      <c r="U232" s="54"/>
      <c r="V232" s="54"/>
      <c r="W232" s="54"/>
      <c r="X232" s="39"/>
      <c r="Y232" s="39"/>
    </row>
    <row r="233" spans="1:25" hidden="1">
      <c r="A233" s="39"/>
      <c r="B233" s="39" t="str">
        <f t="shared" si="2"/>
        <v/>
      </c>
      <c r="C233" s="39"/>
      <c r="D233" s="39" t="str">
        <f t="shared" si="3"/>
        <v/>
      </c>
      <c r="E233" s="39"/>
      <c r="F233" s="39"/>
      <c r="G233" s="39"/>
      <c r="H233" s="39" t="str">
        <f>IF($H$222=16,O215,"")</f>
        <v/>
      </c>
      <c r="I233" s="39"/>
      <c r="J233" s="138" t="str">
        <f>IF($J$222=16,O215,"")</f>
        <v/>
      </c>
      <c r="K233" s="39"/>
      <c r="L233" s="39"/>
      <c r="M233" s="39"/>
      <c r="N233" s="39"/>
      <c r="O233" s="43"/>
      <c r="P233" s="39"/>
      <c r="R233" s="39"/>
      <c r="S233" s="120"/>
      <c r="T233" s="53"/>
      <c r="U233" s="54"/>
      <c r="V233" s="54"/>
      <c r="W233" s="54"/>
      <c r="X233" s="39"/>
      <c r="Y233" s="39"/>
    </row>
    <row r="234" spans="1:25" hidden="1">
      <c r="A234" s="39"/>
      <c r="B234" s="39" t="str">
        <f>IF($B$220="1",K219,"")</f>
        <v/>
      </c>
      <c r="C234" s="39"/>
      <c r="D234" s="39" t="str">
        <f>IF($D$220="1",K219,"")</f>
        <v/>
      </c>
      <c r="E234" s="39"/>
      <c r="F234" s="39"/>
      <c r="G234" s="39"/>
      <c r="H234" s="39" t="str">
        <f t="shared" ref="H234:H243" si="4">IF($H$222=16,O218,"")</f>
        <v/>
      </c>
      <c r="I234" s="39"/>
      <c r="J234" s="138" t="str">
        <f t="shared" ref="J234:J243" si="5">IF($J$222=16,O218,"")</f>
        <v/>
      </c>
      <c r="K234" s="39"/>
      <c r="L234" s="39"/>
      <c r="M234" s="39"/>
      <c r="N234" s="39"/>
      <c r="O234" s="43"/>
      <c r="P234" s="39"/>
      <c r="Q234" s="39"/>
      <c r="R234" s="39"/>
      <c r="S234" s="120"/>
      <c r="T234" s="53"/>
      <c r="U234" s="54"/>
      <c r="V234" s="54"/>
      <c r="W234" s="54"/>
      <c r="X234" s="39"/>
      <c r="Y234" s="39"/>
    </row>
    <row r="235" spans="1:25" hidden="1">
      <c r="A235" s="39"/>
      <c r="B235" s="39"/>
      <c r="C235" s="39"/>
      <c r="D235" s="39"/>
      <c r="E235" s="39"/>
      <c r="F235" s="39"/>
      <c r="G235" s="39"/>
      <c r="H235" s="39" t="str">
        <f t="shared" si="4"/>
        <v/>
      </c>
      <c r="I235" s="39"/>
      <c r="J235" s="138" t="str">
        <f t="shared" si="5"/>
        <v/>
      </c>
      <c r="K235" s="39"/>
      <c r="L235" s="39"/>
      <c r="M235" s="39"/>
      <c r="N235" s="39"/>
      <c r="O235" s="39"/>
      <c r="P235" s="39"/>
      <c r="Q235" s="39"/>
      <c r="R235" s="39"/>
      <c r="S235" s="120"/>
      <c r="T235" s="53"/>
      <c r="U235" s="54"/>
      <c r="V235" s="54"/>
      <c r="W235" s="54"/>
      <c r="X235" s="39"/>
      <c r="Y235" s="39"/>
    </row>
    <row r="236" spans="1:25" hidden="1">
      <c r="A236" s="39"/>
      <c r="B236" s="39"/>
      <c r="C236" s="39"/>
      <c r="D236" s="39"/>
      <c r="E236" s="39"/>
      <c r="F236" s="39"/>
      <c r="G236" s="39"/>
      <c r="H236" s="39" t="str">
        <f t="shared" si="4"/>
        <v/>
      </c>
      <c r="I236" s="39"/>
      <c r="J236" s="138" t="str">
        <f t="shared" si="5"/>
        <v/>
      </c>
      <c r="K236" s="39"/>
      <c r="L236" s="39"/>
      <c r="M236" s="39"/>
      <c r="N236" s="39"/>
      <c r="O236" s="39"/>
      <c r="P236" s="39"/>
      <c r="Q236" s="39"/>
      <c r="R236" s="39"/>
      <c r="S236" s="120"/>
      <c r="T236" s="53"/>
      <c r="U236" s="54"/>
      <c r="V236" s="54"/>
      <c r="W236" s="54"/>
      <c r="X236" s="39"/>
      <c r="Y236" s="39"/>
    </row>
    <row r="237" spans="1:25" hidden="1">
      <c r="A237" s="39"/>
      <c r="B237" s="39"/>
      <c r="C237" s="39"/>
      <c r="D237" s="39"/>
      <c r="E237" s="39"/>
      <c r="F237" s="39"/>
      <c r="G237" s="39"/>
      <c r="H237" s="39" t="str">
        <f t="shared" si="4"/>
        <v/>
      </c>
      <c r="I237" s="39"/>
      <c r="J237" s="138" t="str">
        <f t="shared" si="5"/>
        <v/>
      </c>
      <c r="K237" s="39"/>
      <c r="L237" s="39"/>
      <c r="M237" s="39"/>
      <c r="N237" s="39"/>
      <c r="O237" s="39"/>
      <c r="P237" s="39"/>
      <c r="Q237" s="39"/>
      <c r="R237" s="39"/>
      <c r="S237" s="120"/>
      <c r="T237" s="53"/>
      <c r="U237" s="54"/>
      <c r="V237" s="54"/>
      <c r="W237" s="54"/>
      <c r="X237" s="39"/>
      <c r="Y237" s="39"/>
    </row>
    <row r="238" spans="1:25" hidden="1">
      <c r="A238" s="39"/>
      <c r="B238" s="39"/>
      <c r="C238" s="39"/>
      <c r="D238" s="39"/>
      <c r="E238" s="39"/>
      <c r="F238" s="39"/>
      <c r="G238" s="39"/>
      <c r="H238" s="39" t="str">
        <f t="shared" si="4"/>
        <v/>
      </c>
      <c r="I238" s="39"/>
      <c r="J238" s="138" t="str">
        <f t="shared" si="5"/>
        <v/>
      </c>
      <c r="K238" s="39"/>
      <c r="L238" s="39"/>
      <c r="M238" s="39"/>
      <c r="N238" s="39"/>
      <c r="O238" s="39"/>
      <c r="P238" s="39"/>
      <c r="Q238" s="39"/>
      <c r="R238" s="39"/>
      <c r="S238" s="120"/>
      <c r="T238" s="53"/>
      <c r="U238" s="54"/>
      <c r="V238" s="54"/>
      <c r="W238" s="54"/>
      <c r="X238" s="39"/>
      <c r="Y238" s="39"/>
    </row>
    <row r="239" spans="1:25" hidden="1">
      <c r="A239" s="39"/>
      <c r="B239" s="39"/>
      <c r="C239" s="39"/>
      <c r="D239" s="39"/>
      <c r="E239" s="39"/>
      <c r="F239" s="39"/>
      <c r="G239" s="39"/>
      <c r="H239" s="39" t="str">
        <f t="shared" si="4"/>
        <v/>
      </c>
      <c r="I239" s="39"/>
      <c r="J239" s="138" t="str">
        <f t="shared" si="5"/>
        <v/>
      </c>
      <c r="K239" s="39"/>
      <c r="L239" s="39"/>
      <c r="M239" s="39"/>
      <c r="N239" s="39"/>
      <c r="O239" s="39"/>
      <c r="P239" s="39"/>
      <c r="Q239" s="39"/>
      <c r="R239" s="39"/>
      <c r="S239" s="120"/>
      <c r="T239" s="53"/>
      <c r="U239" s="54"/>
      <c r="V239" s="54"/>
      <c r="W239" s="54"/>
      <c r="X239" s="39"/>
      <c r="Y239" s="39"/>
    </row>
    <row r="240" spans="1:25" hidden="1">
      <c r="A240" s="39"/>
      <c r="B240" s="39"/>
      <c r="C240" s="39"/>
      <c r="D240" s="39"/>
      <c r="E240" s="39"/>
      <c r="F240" s="39"/>
      <c r="G240" s="39"/>
      <c r="H240" s="39" t="str">
        <f t="shared" si="4"/>
        <v/>
      </c>
      <c r="I240" s="39"/>
      <c r="J240" s="138" t="str">
        <f t="shared" si="5"/>
        <v/>
      </c>
      <c r="K240" s="39"/>
      <c r="L240" s="39"/>
      <c r="M240" s="39"/>
      <c r="N240" s="39"/>
      <c r="O240" s="39"/>
      <c r="P240" s="39"/>
      <c r="Q240" s="39"/>
      <c r="R240" s="39"/>
      <c r="S240" s="120"/>
      <c r="T240" s="53"/>
      <c r="U240" s="54"/>
      <c r="V240" s="54"/>
      <c r="W240" s="54"/>
      <c r="X240" s="39"/>
      <c r="Y240" s="39"/>
    </row>
    <row r="241" spans="1:25" hidden="1">
      <c r="A241" s="39"/>
      <c r="B241" s="39"/>
      <c r="C241" s="39"/>
      <c r="D241" s="39"/>
      <c r="E241" s="39"/>
      <c r="F241" s="39"/>
      <c r="G241" s="39"/>
      <c r="H241" s="39" t="str">
        <f t="shared" si="4"/>
        <v/>
      </c>
      <c r="I241" s="39"/>
      <c r="J241" s="138" t="str">
        <f t="shared" si="5"/>
        <v/>
      </c>
      <c r="K241" s="39"/>
      <c r="L241" s="39"/>
      <c r="M241" s="39"/>
      <c r="N241" s="39"/>
      <c r="O241" s="39"/>
      <c r="P241" s="39"/>
      <c r="Q241" s="39"/>
      <c r="R241" s="39"/>
      <c r="S241" s="120"/>
      <c r="T241" s="53"/>
      <c r="U241" s="54"/>
      <c r="V241" s="54"/>
      <c r="W241" s="54"/>
      <c r="X241" s="39"/>
      <c r="Y241" s="39"/>
    </row>
    <row r="242" spans="1:25" hidden="1">
      <c r="A242" s="39"/>
      <c r="B242" s="39"/>
      <c r="C242" s="39"/>
      <c r="D242" s="39"/>
      <c r="E242" s="39"/>
      <c r="F242" s="39"/>
      <c r="G242" s="39"/>
      <c r="H242" s="39" t="str">
        <f t="shared" si="4"/>
        <v/>
      </c>
      <c r="I242" s="39"/>
      <c r="J242" s="138" t="str">
        <f t="shared" si="5"/>
        <v/>
      </c>
      <c r="K242" s="39"/>
      <c r="L242" s="39"/>
      <c r="M242" s="39"/>
      <c r="N242" s="39"/>
      <c r="O242" s="39"/>
      <c r="P242" s="39"/>
      <c r="Q242" s="39"/>
      <c r="R242" s="39"/>
      <c r="S242" s="120"/>
      <c r="T242" s="53"/>
      <c r="U242" s="54"/>
      <c r="V242" s="54"/>
      <c r="W242" s="54"/>
      <c r="X242" s="39"/>
      <c r="Y242" s="39"/>
    </row>
    <row r="243" spans="1:25" hidden="1">
      <c r="A243" s="39"/>
      <c r="B243" s="39"/>
      <c r="C243" s="39"/>
      <c r="D243" s="39"/>
      <c r="E243" s="39"/>
      <c r="F243" s="39"/>
      <c r="G243" s="39"/>
      <c r="H243" s="39" t="str">
        <f t="shared" si="4"/>
        <v/>
      </c>
      <c r="I243" s="39"/>
      <c r="J243" s="138" t="str">
        <f t="shared" si="5"/>
        <v/>
      </c>
      <c r="K243" s="39"/>
      <c r="L243" s="39"/>
      <c r="M243" s="39"/>
      <c r="N243" s="39"/>
      <c r="O243" s="39"/>
      <c r="P243" s="39"/>
      <c r="Q243" s="39"/>
      <c r="R243" s="39"/>
      <c r="S243" s="120"/>
      <c r="T243" s="53"/>
      <c r="U243" s="54"/>
      <c r="V243" s="54"/>
      <c r="W243" s="54"/>
      <c r="X243" s="39"/>
      <c r="Y243" s="39"/>
    </row>
    <row r="244" spans="1:25" hidden="1">
      <c r="A244" s="39"/>
      <c r="B244" s="39"/>
      <c r="C244" s="39"/>
      <c r="D244" s="39"/>
      <c r="E244" s="39"/>
      <c r="F244" s="39"/>
      <c r="G244" s="39"/>
      <c r="H244" s="39" t="str">
        <f>IF($H$222=16,O229,"")</f>
        <v/>
      </c>
      <c r="I244" s="39"/>
      <c r="J244" s="138" t="str">
        <f>IF($J$222=16,O229,"")</f>
        <v/>
      </c>
      <c r="K244" s="39"/>
      <c r="L244" s="39"/>
      <c r="M244" s="39"/>
      <c r="N244" s="39"/>
      <c r="O244" s="39"/>
      <c r="P244" s="39"/>
      <c r="Q244" s="39"/>
      <c r="R244" s="39"/>
      <c r="S244" s="120"/>
      <c r="T244" s="53"/>
      <c r="U244" s="54"/>
      <c r="V244" s="54"/>
      <c r="W244" s="54"/>
      <c r="X244" s="39"/>
      <c r="Y244" s="39"/>
    </row>
    <row r="245" spans="1:25" hidden="1">
      <c r="A245" s="39"/>
      <c r="B245" s="39"/>
      <c r="C245" s="39"/>
      <c r="D245" s="39"/>
      <c r="E245" s="39"/>
      <c r="F245" s="39"/>
      <c r="G245" s="39"/>
      <c r="H245" s="39" t="str">
        <f>IF($H$222=16,O230,"")</f>
        <v/>
      </c>
      <c r="I245" s="39"/>
      <c r="J245" s="138" t="str">
        <f>IF($J$222=16,O230,"")</f>
        <v/>
      </c>
      <c r="K245" s="39"/>
      <c r="L245" s="39"/>
      <c r="M245" s="39"/>
      <c r="N245" s="39"/>
      <c r="O245" s="39"/>
      <c r="P245" s="39"/>
      <c r="Q245" s="39"/>
      <c r="R245" s="39"/>
      <c r="S245" s="120"/>
      <c r="T245" s="53"/>
      <c r="U245" s="54"/>
      <c r="V245" s="54"/>
      <c r="W245" s="54"/>
      <c r="X245" s="39"/>
      <c r="Y245" s="39"/>
    </row>
    <row r="246" spans="1:25" hidden="1">
      <c r="A246" s="39"/>
      <c r="B246" s="39"/>
      <c r="C246" s="39"/>
      <c r="D246" s="39"/>
      <c r="E246" s="39"/>
      <c r="F246" s="39"/>
      <c r="G246" s="39"/>
      <c r="H246" s="39" t="str">
        <f>IF($H$222=16,O231,"")</f>
        <v/>
      </c>
      <c r="I246" s="39"/>
      <c r="J246" s="138" t="str">
        <f>IF($J$222=16,O231,"")</f>
        <v/>
      </c>
      <c r="K246" s="39"/>
      <c r="L246" s="39"/>
      <c r="M246" s="39"/>
      <c r="N246" s="39"/>
      <c r="O246" s="39"/>
      <c r="P246" s="39"/>
      <c r="Q246" s="39"/>
      <c r="R246" s="39"/>
      <c r="S246" s="120"/>
      <c r="T246" s="53"/>
      <c r="U246" s="54"/>
      <c r="V246" s="54"/>
      <c r="W246" s="54"/>
      <c r="X246" s="39"/>
      <c r="Y246" s="39"/>
    </row>
    <row r="247" spans="1:25" hidden="1">
      <c r="A247" s="39"/>
      <c r="B247" s="66"/>
      <c r="C247" s="39"/>
      <c r="D247" s="39"/>
      <c r="E247" s="39"/>
      <c r="F247" s="39"/>
      <c r="G247" s="39"/>
      <c r="H247" s="39" t="str">
        <f>IF($H$222=16,O232,"")</f>
        <v/>
      </c>
      <c r="I247" s="39"/>
      <c r="J247" s="138" t="str">
        <f>IF($J$222=16,O232,"")</f>
        <v/>
      </c>
      <c r="K247" s="39"/>
      <c r="L247" s="39"/>
      <c r="M247" s="39"/>
      <c r="N247" s="39"/>
      <c r="O247" s="39"/>
      <c r="P247" s="39"/>
      <c r="Q247" s="39"/>
      <c r="R247" s="39"/>
      <c r="S247" s="120"/>
      <c r="T247" s="53"/>
      <c r="U247" s="54"/>
      <c r="V247" s="54"/>
      <c r="W247" s="54"/>
      <c r="X247" s="39"/>
      <c r="Y247" s="39"/>
    </row>
    <row r="248" spans="1:25" hidden="1">
      <c r="A248" s="39"/>
      <c r="B248" s="66"/>
      <c r="C248" s="39"/>
      <c r="D248" s="39"/>
      <c r="E248" s="39"/>
      <c r="F248" s="39"/>
      <c r="G248" s="39"/>
      <c r="H248" s="39" t="str">
        <f>IF($H$222=16,O233,"")</f>
        <v/>
      </c>
      <c r="I248" s="39"/>
      <c r="J248" s="138" t="str">
        <f>IF($J$222=16,O233,"")</f>
        <v/>
      </c>
      <c r="K248" s="39"/>
      <c r="L248" s="39"/>
      <c r="M248" s="39"/>
      <c r="N248" s="39"/>
      <c r="O248" s="39"/>
      <c r="P248" s="39"/>
      <c r="Q248" s="39"/>
      <c r="R248" s="39"/>
      <c r="S248" s="120"/>
      <c r="T248" s="53"/>
      <c r="U248" s="54"/>
      <c r="V248" s="54"/>
      <c r="W248" s="54"/>
      <c r="X248" s="39"/>
      <c r="Y248" s="39"/>
    </row>
    <row r="249" spans="1:25" hidden="1">
      <c r="A249" s="39"/>
      <c r="B249" s="66"/>
      <c r="C249" s="39"/>
      <c r="D249" s="39"/>
      <c r="E249" s="39"/>
      <c r="F249" s="39"/>
      <c r="G249" s="39"/>
      <c r="H249" s="39"/>
      <c r="I249" s="39"/>
      <c r="J249" s="138"/>
      <c r="K249" s="39"/>
      <c r="L249" s="39"/>
      <c r="M249" s="39"/>
      <c r="N249" s="39"/>
      <c r="O249" s="39"/>
      <c r="P249" s="39"/>
      <c r="Q249" s="39"/>
      <c r="R249" s="39"/>
      <c r="S249" s="120"/>
      <c r="T249" s="53"/>
      <c r="U249" s="54"/>
      <c r="V249" s="54"/>
      <c r="W249" s="54"/>
      <c r="X249" s="39"/>
      <c r="Y249" s="39"/>
    </row>
    <row r="250" spans="1:25" hidden="1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120"/>
      <c r="T250" s="53"/>
      <c r="U250" s="54"/>
      <c r="V250" s="54"/>
      <c r="W250" s="54"/>
      <c r="X250" s="39"/>
      <c r="Y250" s="39"/>
    </row>
    <row r="251" spans="1:25" hidden="1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</row>
    <row r="252" spans="1:25" hidden="1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</row>
    <row r="253" spans="1:25" hidden="1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</row>
    <row r="254" spans="1:25" hidden="1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</row>
    <row r="255" spans="1:25" hidden="1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</row>
    <row r="256" spans="1:25" hidden="1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</row>
    <row r="257" spans="1:25" hidden="1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</row>
    <row r="258" spans="1:25" hidden="1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</row>
    <row r="259" spans="1:25" hidden="1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</row>
    <row r="260" spans="1:25" hidden="1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</row>
    <row r="261" spans="1:25" hidden="1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</row>
    <row r="262" spans="1:25" hidden="1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</row>
    <row r="263" spans="1:25" hidden="1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</row>
    <row r="264" spans="1:25" hidden="1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</row>
    <row r="265" spans="1:25" hidden="1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</row>
    <row r="266" spans="1:25" hidden="1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</row>
    <row r="267" spans="1:25" hidden="1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</row>
    <row r="268" spans="1:25" hidden="1">
      <c r="A268" s="39"/>
      <c r="B268" s="140" t="s">
        <v>71</v>
      </c>
      <c r="C268" s="141"/>
      <c r="D268" s="141"/>
      <c r="E268" s="141"/>
      <c r="F268" s="141"/>
      <c r="G268" s="39"/>
      <c r="H268" s="39"/>
      <c r="I268" s="140" t="s">
        <v>71</v>
      </c>
      <c r="J268" s="141"/>
      <c r="K268" s="141"/>
      <c r="L268" s="141"/>
      <c r="M268" s="141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</row>
    <row r="269" spans="1:25" hidden="1">
      <c r="A269" s="39"/>
      <c r="B269" s="140" t="s">
        <v>70</v>
      </c>
      <c r="C269" s="142"/>
      <c r="D269" s="142"/>
      <c r="E269" s="66" t="str">
        <f>IF($B$232="ton (Mg)",#REF!/1000,"-   ")</f>
        <v xml:space="preserve">-   </v>
      </c>
      <c r="F269" s="39" t="s">
        <v>69</v>
      </c>
      <c r="G269" s="39"/>
      <c r="H269" s="39"/>
      <c r="I269" s="140" t="s">
        <v>70</v>
      </c>
      <c r="J269" s="142"/>
      <c r="K269" s="142"/>
      <c r="L269" s="66" t="str">
        <f>IF($E$231="ton (Mg)",#REF!/1000,"-   ")</f>
        <v xml:space="preserve">-   </v>
      </c>
      <c r="M269" s="39" t="s">
        <v>69</v>
      </c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</row>
    <row r="270" spans="1:25" hidden="1">
      <c r="A270" s="39"/>
      <c r="B270" s="140" t="s">
        <v>67</v>
      </c>
      <c r="C270" s="142"/>
      <c r="D270" s="142"/>
      <c r="E270" s="66" t="e">
        <f>IF(#REF!="m3",#REF!/1000000,"-   ")</f>
        <v>#REF!</v>
      </c>
      <c r="F270" s="39" t="s">
        <v>66</v>
      </c>
      <c r="G270" s="39"/>
      <c r="H270" s="39"/>
      <c r="I270" s="140" t="s">
        <v>67</v>
      </c>
      <c r="J270" s="142"/>
      <c r="K270" s="142"/>
      <c r="L270" s="66" t="e">
        <f>IF(#REF!="m3",#REF!/1000000,"-   ")</f>
        <v>#REF!</v>
      </c>
      <c r="M270" s="39" t="s">
        <v>66</v>
      </c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</row>
    <row r="271" spans="1:25" hidden="1">
      <c r="A271" s="39"/>
      <c r="B271" s="140" t="s">
        <v>64</v>
      </c>
      <c r="C271" s="142"/>
      <c r="D271" s="142"/>
      <c r="E271" s="66" t="str">
        <f>IF($B$232="m3",#REF!/#REF!,"-   ")</f>
        <v xml:space="preserve">-   </v>
      </c>
      <c r="F271" s="39" t="s">
        <v>63</v>
      </c>
      <c r="G271" s="39"/>
      <c r="H271" s="39"/>
      <c r="I271" s="140" t="s">
        <v>64</v>
      </c>
      <c r="J271" s="142"/>
      <c r="K271" s="142"/>
      <c r="L271" s="66" t="str">
        <f>IF($E$231="m3",#REF!/#REF!,"-   ")</f>
        <v xml:space="preserve">-   </v>
      </c>
      <c r="M271" s="39" t="s">
        <v>63</v>
      </c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</row>
    <row r="272" spans="1:25" hidden="1">
      <c r="A272" s="39"/>
      <c r="B272" s="140" t="s">
        <v>125</v>
      </c>
      <c r="C272" s="142"/>
      <c r="D272" s="142"/>
      <c r="E272" s="143" t="str">
        <f>IF($B$232="kg",#REF!/0.73/10^6,"-   ")</f>
        <v xml:space="preserve">-   </v>
      </c>
      <c r="F272" s="39" t="s">
        <v>66</v>
      </c>
      <c r="G272" s="39"/>
      <c r="H272" s="39"/>
      <c r="I272" s="140" t="s">
        <v>125</v>
      </c>
      <c r="J272" s="142"/>
      <c r="K272" s="142"/>
      <c r="L272" s="143" t="str">
        <f>IF($E$231="kg",#REF!/0.73/10^6,"-   ")</f>
        <v xml:space="preserve">-   </v>
      </c>
      <c r="M272" s="39" t="s">
        <v>66</v>
      </c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</row>
    <row r="273" spans="1:25" hidden="1">
      <c r="A273" s="39"/>
      <c r="B273" s="140" t="s">
        <v>123</v>
      </c>
      <c r="C273" s="142"/>
      <c r="D273" s="142"/>
      <c r="E273" s="66" t="str">
        <f>IF($B$232="kg",#REF!/580,"-   ")</f>
        <v xml:space="preserve">-   </v>
      </c>
      <c r="F273" s="39" t="s">
        <v>124</v>
      </c>
      <c r="G273" s="141"/>
      <c r="H273" s="39"/>
      <c r="I273" s="140" t="s">
        <v>123</v>
      </c>
      <c r="J273" s="142"/>
      <c r="K273" s="142"/>
      <c r="L273" s="66" t="str">
        <f>IF($E$231="kg",#REF!/580,"-   ")</f>
        <v xml:space="preserve">-   </v>
      </c>
      <c r="M273" s="39" t="s">
        <v>124</v>
      </c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</row>
    <row r="274" spans="1:25" hidden="1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</row>
    <row r="275" spans="1:25" ht="15.75" hidden="1" thickBot="1">
      <c r="A275" s="39"/>
      <c r="B275" s="45" t="s">
        <v>127</v>
      </c>
      <c r="C275" s="39"/>
      <c r="D275" s="39"/>
      <c r="E275" s="39"/>
      <c r="F275" s="39"/>
      <c r="G275" s="39"/>
      <c r="H275" s="39"/>
      <c r="I275" s="39">
        <v>15.6</v>
      </c>
      <c r="J275" s="39" t="s">
        <v>80</v>
      </c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</row>
    <row r="276" spans="1:25" ht="15" hidden="1" thickBot="1">
      <c r="A276" s="39"/>
      <c r="B276" s="132" t="s">
        <v>128</v>
      </c>
      <c r="C276" s="39"/>
      <c r="D276" s="39"/>
      <c r="E276" s="39"/>
      <c r="F276" s="39"/>
      <c r="G276" s="39"/>
      <c r="H276" s="39"/>
      <c r="I276" s="144">
        <v>0</v>
      </c>
      <c r="J276" s="39" t="s">
        <v>80</v>
      </c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</row>
    <row r="277" spans="1:25" hidden="1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</row>
    <row r="278" spans="1:25" hidden="1"/>
    <row r="279" spans="1:25" hidden="1"/>
    <row r="280" spans="1:25" hidden="1"/>
    <row r="281" spans="1:25" hidden="1"/>
    <row r="282" spans="1:25" hidden="1"/>
    <row r="283" spans="1:25" hidden="1"/>
    <row r="284" spans="1:25" hidden="1"/>
    <row r="285" spans="1:25" hidden="1"/>
    <row r="286" spans="1:25" hidden="1"/>
    <row r="287" spans="1:25" hidden="1"/>
    <row r="288" spans="1:25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</sheetData>
  <sheetProtection algorithmName="SHA-512" hashValue="RUJ9bamOyw7BZMsVF1vQne4YKDbJsh64xTFzkoW1wt+ljLLy0wM8UEN2F7PQ2A/H9/QNgb/Mo3icpEnIPmS7DA==" saltValue="AMXdtWl583zOA98Tcqrhyw==" spinCount="100000" sheet="1" formatRows="0"/>
  <mergeCells count="171">
    <mergeCell ref="A49:B49"/>
    <mergeCell ref="A50:B50"/>
    <mergeCell ref="A58:F58"/>
    <mergeCell ref="D56:F57"/>
    <mergeCell ref="D55:F55"/>
    <mergeCell ref="A44:B44"/>
    <mergeCell ref="C44:D44"/>
    <mergeCell ref="E44:F44"/>
    <mergeCell ref="A45:B45"/>
    <mergeCell ref="C45:D45"/>
    <mergeCell ref="E45:F45"/>
    <mergeCell ref="A47:B48"/>
    <mergeCell ref="C47:D47"/>
    <mergeCell ref="E47:F47"/>
    <mergeCell ref="A25:B25"/>
    <mergeCell ref="C25:D25"/>
    <mergeCell ref="E25:F25"/>
    <mergeCell ref="A29:B30"/>
    <mergeCell ref="C29:D29"/>
    <mergeCell ref="E29:F29"/>
    <mergeCell ref="A41:B41"/>
    <mergeCell ref="C41:D41"/>
    <mergeCell ref="E41:F41"/>
    <mergeCell ref="A31:B31"/>
    <mergeCell ref="A32:B32"/>
    <mergeCell ref="A33:B33"/>
    <mergeCell ref="A34:B34"/>
    <mergeCell ref="A35:B35"/>
    <mergeCell ref="A39:B39"/>
    <mergeCell ref="C39:D39"/>
    <mergeCell ref="E39:F39"/>
    <mergeCell ref="A40:B40"/>
    <mergeCell ref="C40:D40"/>
    <mergeCell ref="E40:F40"/>
    <mergeCell ref="C15:D15"/>
    <mergeCell ref="E15:F15"/>
    <mergeCell ref="A24:B24"/>
    <mergeCell ref="C24:D24"/>
    <mergeCell ref="E24:F24"/>
    <mergeCell ref="C17:D17"/>
    <mergeCell ref="E17:F17"/>
    <mergeCell ref="C18:D18"/>
    <mergeCell ref="E18:F18"/>
    <mergeCell ref="A19:B19"/>
    <mergeCell ref="C19:D19"/>
    <mergeCell ref="E19:F19"/>
    <mergeCell ref="C22:D22"/>
    <mergeCell ref="E22:F22"/>
    <mergeCell ref="A23:B23"/>
    <mergeCell ref="C23:D23"/>
    <mergeCell ref="E23:F23"/>
    <mergeCell ref="AI1:AJ1"/>
    <mergeCell ref="A85:B85"/>
    <mergeCell ref="A86:B86"/>
    <mergeCell ref="B100:J101"/>
    <mergeCell ref="B102:D102"/>
    <mergeCell ref="C10:D10"/>
    <mergeCell ref="E10:F10"/>
    <mergeCell ref="A1:F1"/>
    <mergeCell ref="A2:F2"/>
    <mergeCell ref="A3:F3"/>
    <mergeCell ref="A5:F5"/>
    <mergeCell ref="A6:F6"/>
    <mergeCell ref="C16:D16"/>
    <mergeCell ref="E16:F16"/>
    <mergeCell ref="A11:B11"/>
    <mergeCell ref="C11:D11"/>
    <mergeCell ref="E11:F11"/>
    <mergeCell ref="C12:D12"/>
    <mergeCell ref="E12:F12"/>
    <mergeCell ref="C13:D13"/>
    <mergeCell ref="E13:F13"/>
    <mergeCell ref="C14:D14"/>
    <mergeCell ref="E14:F14"/>
    <mergeCell ref="A15:B15"/>
    <mergeCell ref="B109:E109"/>
    <mergeCell ref="G109:J109"/>
    <mergeCell ref="B111:C111"/>
    <mergeCell ref="G111:H111"/>
    <mergeCell ref="B112:E112"/>
    <mergeCell ref="G112:J112"/>
    <mergeCell ref="B103:J103"/>
    <mergeCell ref="B105:E105"/>
    <mergeCell ref="G105:J105"/>
    <mergeCell ref="B108:E108"/>
    <mergeCell ref="G108:J108"/>
    <mergeCell ref="B114:E114"/>
    <mergeCell ref="G114:J114"/>
    <mergeCell ref="B116:E116"/>
    <mergeCell ref="G116:J116"/>
    <mergeCell ref="AK116:AK124"/>
    <mergeCell ref="B117:E117"/>
    <mergeCell ref="G117:J117"/>
    <mergeCell ref="B119:E119"/>
    <mergeCell ref="G119:J119"/>
    <mergeCell ref="B120:E120"/>
    <mergeCell ref="G120:J120"/>
    <mergeCell ref="B122:E122"/>
    <mergeCell ref="G122:J122"/>
    <mergeCell ref="B123:E123"/>
    <mergeCell ref="G123:J123"/>
    <mergeCell ref="AK134:AK137"/>
    <mergeCell ref="B135:E135"/>
    <mergeCell ref="G135:J135"/>
    <mergeCell ref="C136:D136"/>
    <mergeCell ref="H136:I136"/>
    <mergeCell ref="B125:E125"/>
    <mergeCell ref="G125:J125"/>
    <mergeCell ref="AK125:AK133"/>
    <mergeCell ref="B126:E126"/>
    <mergeCell ref="G126:J126"/>
    <mergeCell ref="B128:E128"/>
    <mergeCell ref="G128:J128"/>
    <mergeCell ref="B129:E129"/>
    <mergeCell ref="G129:J129"/>
    <mergeCell ref="B132:E132"/>
    <mergeCell ref="G132:J132"/>
    <mergeCell ref="C133:D133"/>
    <mergeCell ref="H133:I133"/>
    <mergeCell ref="AJ146:AJ153"/>
    <mergeCell ref="AK146:AK149"/>
    <mergeCell ref="B150:E150"/>
    <mergeCell ref="G150:J150"/>
    <mergeCell ref="AK150:AK153"/>
    <mergeCell ref="B138:E138"/>
    <mergeCell ref="G138:J138"/>
    <mergeCell ref="AJ138:AJ145"/>
    <mergeCell ref="AK138:AK141"/>
    <mergeCell ref="C139:D139"/>
    <mergeCell ref="H139:I139"/>
    <mergeCell ref="B141:E141"/>
    <mergeCell ref="G141:J141"/>
    <mergeCell ref="C142:D142"/>
    <mergeCell ref="H142:I142"/>
    <mergeCell ref="AK142:AK145"/>
    <mergeCell ref="B144:E144"/>
    <mergeCell ref="G144:J144"/>
    <mergeCell ref="B167:E167"/>
    <mergeCell ref="Q168:S168"/>
    <mergeCell ref="T168:V168"/>
    <mergeCell ref="B169:E169"/>
    <mergeCell ref="T169:V169"/>
    <mergeCell ref="AK154:AK156"/>
    <mergeCell ref="B155:C155"/>
    <mergeCell ref="G155:H155"/>
    <mergeCell ref="B157:J157"/>
    <mergeCell ref="C162:D162"/>
    <mergeCell ref="O183:P183"/>
    <mergeCell ref="T183:V183"/>
    <mergeCell ref="H199:I199"/>
    <mergeCell ref="A13:B13"/>
    <mergeCell ref="A14:B14"/>
    <mergeCell ref="A16:B16"/>
    <mergeCell ref="A17:B17"/>
    <mergeCell ref="T178:V178"/>
    <mergeCell ref="T179:V179"/>
    <mergeCell ref="T180:V180"/>
    <mergeCell ref="T181:V181"/>
    <mergeCell ref="T182:V182"/>
    <mergeCell ref="B173:E173"/>
    <mergeCell ref="T173:V173"/>
    <mergeCell ref="O174:P174"/>
    <mergeCell ref="T174:V174"/>
    <mergeCell ref="Q177:S177"/>
    <mergeCell ref="T177:V177"/>
    <mergeCell ref="B170:E170"/>
    <mergeCell ref="T170:V170"/>
    <mergeCell ref="T171:V171"/>
    <mergeCell ref="B172:C172"/>
    <mergeCell ref="T172:V172"/>
    <mergeCell ref="B166:E166"/>
  </mergeCells>
  <conditionalFormatting sqref="C11:F19">
    <cfRule type="cellIs" dxfId="68" priority="9" operator="equal">
      <formula>""</formula>
    </cfRule>
  </conditionalFormatting>
  <conditionalFormatting sqref="C20">
    <cfRule type="cellIs" dxfId="67" priority="8" operator="equal">
      <formula>""</formula>
    </cfRule>
  </conditionalFormatting>
  <conditionalFormatting sqref="E20">
    <cfRule type="cellIs" dxfId="66" priority="7" operator="equal">
      <formula>""</formula>
    </cfRule>
  </conditionalFormatting>
  <conditionalFormatting sqref="C23:F25">
    <cfRule type="cellIs" dxfId="65" priority="6" operator="equal">
      <formula>""</formula>
    </cfRule>
  </conditionalFormatting>
  <conditionalFormatting sqref="C40:D40">
    <cfRule type="cellIs" dxfId="64" priority="5" operator="equal">
      <formula>""</formula>
    </cfRule>
  </conditionalFormatting>
  <conditionalFormatting sqref="C41:D41">
    <cfRule type="cellIs" dxfId="63" priority="4" operator="equal">
      <formula>""</formula>
    </cfRule>
  </conditionalFormatting>
  <conditionalFormatting sqref="E40:F40">
    <cfRule type="cellIs" dxfId="62" priority="3" operator="equal">
      <formula>""</formula>
    </cfRule>
  </conditionalFormatting>
  <conditionalFormatting sqref="E41:F41">
    <cfRule type="cellIs" dxfId="61" priority="2" operator="equal">
      <formula>""</formula>
    </cfRule>
  </conditionalFormatting>
  <conditionalFormatting sqref="A5:F5">
    <cfRule type="cellIs" dxfId="60" priority="1" operator="equal">
      <formula>""</formula>
    </cfRule>
  </conditionalFormatting>
  <dataValidations count="21">
    <dataValidation type="list" allowBlank="1" showInputMessage="1" showErrorMessage="1" sqref="E41:F41" xr:uid="{00000000-0002-0000-0300-000000000000}">
      <formula1>$J$224:$J$248</formula1>
    </dataValidation>
    <dataValidation type="list" allowBlank="1" showInputMessage="1" showErrorMessage="1" sqref="C41:D41" xr:uid="{00000000-0002-0000-0300-000001000000}">
      <formula1>$H$224:$H$248</formula1>
    </dataValidation>
    <dataValidation type="list" allowBlank="1" showInputMessage="1" showErrorMessage="1" sqref="E11:F11" xr:uid="{00000000-0002-0000-0300-000002000000}">
      <formula1>$R$103:$R$110</formula1>
    </dataValidation>
    <dataValidation type="list" allowBlank="1" showInputMessage="1" showErrorMessage="1" sqref="E18" xr:uid="{00000000-0002-0000-0300-000004000000}">
      <formula1>$R$150:$R$153</formula1>
    </dataValidation>
    <dataValidation type="list" allowBlank="1" showInputMessage="1" showErrorMessage="1" sqref="C18" xr:uid="{00000000-0002-0000-0300-000005000000}">
      <formula1>$R$141:$R$144</formula1>
    </dataValidation>
    <dataValidation type="list" allowBlank="1" showInputMessage="1" showErrorMessage="1" sqref="C40:D40" xr:uid="{00000000-0002-0000-0300-000006000000}">
      <formula1>$B$221:$B$234</formula1>
    </dataValidation>
    <dataValidation type="list" allowBlank="1" showInputMessage="1" showErrorMessage="1" sqref="E40:F40" xr:uid="{00000000-0002-0000-0300-000007000000}">
      <formula1>$D$221:$D$234</formula1>
    </dataValidation>
    <dataValidation type="decimal" operator="greaterThanOrEqual" allowBlank="1" showInputMessage="1" showErrorMessage="1" error="Wymagana wartość liczbowa" sqref="C19:F19 C23:D25 E24:F25" xr:uid="{00000000-0002-0000-0300-000008000000}">
      <formula1>0</formula1>
    </dataValidation>
    <dataValidation type="list" allowBlank="1" showInputMessage="1" showErrorMessage="1" sqref="C13:D13" xr:uid="{00000000-0002-0000-0300-000009000000}">
      <formula1>$T$104:$T$105</formula1>
    </dataValidation>
    <dataValidation type="list" allowBlank="1" showInputMessage="1" showErrorMessage="1" sqref="E13:F13" xr:uid="{00000000-0002-0000-0300-00000A000000}">
      <formula1>$T$108:$T$109</formula1>
    </dataValidation>
    <dataValidation type="list" errorStyle="warning" allowBlank="1" showInputMessage="1" showErrorMessage="1" sqref="C14:D14" xr:uid="{00000000-0002-0000-0300-00000B000000}">
      <formula1>IF(M115=0,C14,IF($M$115=1,$R$139,IF($M$115&lt;=3,$U$114:$U$115,IF($M$115&lt;=6,$R$139,$U$114:$U$115))))</formula1>
    </dataValidation>
    <dataValidation type="list" allowBlank="1" showInputMessage="1" showErrorMessage="1" sqref="C15:D15" xr:uid="{00000000-0002-0000-0300-00000C000000}">
      <formula1>IF(M115=0,"",IF($M$115&lt;=4,$R$139,IF($M$115&lt;=6,$R$125:$R$126,R139)))</formula1>
    </dataValidation>
    <dataValidation type="list" allowBlank="1" showInputMessage="1" showErrorMessage="1" sqref="Q98" xr:uid="{00000000-0002-0000-0300-00000D000000}">
      <formula1>IF(M115=0,"",IF($M$115&lt;=4,$R$139,IF($M$115&lt;=6,$R$125:$R$126,R139)))</formula1>
    </dataValidation>
    <dataValidation type="list" allowBlank="1" showInputMessage="1" showErrorMessage="1" sqref="C16:D16" xr:uid="{00000000-0002-0000-0300-00000E000000}">
      <formula1>IF($M$122=0,C16,IF($M$122&lt;2020,$R$139,IF($M$122&lt;3010,$U$117:$U$118,IF($M$122=3010,$R$139,IF($M$122=3020,$U$117:$U$118,IF(M122&gt;=4000,R139))))))</formula1>
    </dataValidation>
    <dataValidation type="decimal" allowBlank="1" showInputMessage="1" showErrorMessage="1" error="Należy wprowadzić prawidłową wartość." sqref="E23:F23" xr:uid="{60980FAC-BBDB-45B4-9861-55C8D7BB2102}">
      <formula1>0</formula1>
      <formula2>1.8</formula2>
    </dataValidation>
    <dataValidation type="list" allowBlank="1" showInputMessage="1" showErrorMessage="1" sqref="C11:D11" xr:uid="{9389842F-B64D-46D6-8142-0842244FE4B7}">
      <formula1>$R$103:$R$109</formula1>
    </dataValidation>
    <dataValidation type="list" allowBlank="1" showInputMessage="1" showErrorMessage="1" sqref="E15:F15" xr:uid="{00000000-0002-0000-0300-00000F000000}">
      <formula1>IF(O115=0,$E$15,IF($O$115&lt;=4,$R$139,IF($O$115&lt;=6,$R$125:$R$126,R139)))</formula1>
    </dataValidation>
    <dataValidation type="list" allowBlank="1" showInputMessage="1" showErrorMessage="1" sqref="C17:D17" xr:uid="{00000000-0002-0000-0300-000010000000}">
      <formula1>IF(M122=0,$C$17,IF($M$122&lt;2020,$R$139,IF($M$122&lt;3010,$U$120:$U$121,IF($M$122=3010,$R$139,IF($M$122=3020,$U$120:$U$121,$R$139)))))</formula1>
    </dataValidation>
    <dataValidation type="list" allowBlank="1" showInputMessage="1" showErrorMessage="1" sqref="E14:F14" xr:uid="{00000000-0002-0000-0300-000011000000}">
      <formula1>IF(O115=0,$E$14,IF($O$115=1,$R$139,IF($O$115&lt;=3,$U$114:$U$115,IF($O$115&lt;=6,$R$139,$U$114:$U$115))))</formula1>
    </dataValidation>
    <dataValidation type="list" allowBlank="1" showInputMessage="1" showErrorMessage="1" sqref="E16:F16" xr:uid="{00000000-0002-0000-0300-000012000000}">
      <formula1>IF(O122=0,$E$16,IF($O$122&lt;2020,$R$139,IF($O$122&lt;3010,$U$117:$U$118,IF($O$122=3010,$R$139,IF($O$122=3020,$U$117:$U$118,$R$139)))))</formula1>
    </dataValidation>
    <dataValidation type="list" allowBlank="1" showInputMessage="1" showErrorMessage="1" sqref="E17:F17" xr:uid="{00000000-0002-0000-0300-000013000000}">
      <formula1>IF(O122=0,$E$17,IF($O$122&lt;2020,$R$139,IF($O$122&lt;3010,$U$120:$U$121,IF($O$122=3010,$R$139,IF($O$122=3020,$U$120:$U$121,$R$139)))))</formula1>
    </dataValidation>
  </dataValidations>
  <pageMargins left="0.7" right="0.7" top="0.75" bottom="0.75" header="0.3" footer="0.3"/>
  <pageSetup paperSize="9" scale="86" orientation="portrait" r:id="rId1"/>
  <headerFooter>
    <oddFooter>&amp;C&amp;"Arial,Normalny"&amp;8Strona &amp;P z &amp;N&amp;R&amp;"Arial,Normalny"&amp;8v2023-1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BE317"/>
  <sheetViews>
    <sheetView zoomScaleNormal="100" zoomScaleSheetLayoutView="100" workbookViewId="0">
      <selection activeCell="A5" sqref="A5:H5"/>
    </sheetView>
  </sheetViews>
  <sheetFormatPr defaultColWidth="9" defaultRowHeight="14.25"/>
  <cols>
    <col min="1" max="1" width="3.5" style="38" customWidth="1"/>
    <col min="2" max="2" width="16.625" style="38" customWidth="1"/>
    <col min="3" max="4" width="6.625" style="38" customWidth="1"/>
    <col min="5" max="8" width="11.625" style="38" customWidth="1"/>
    <col min="9" max="16384" width="9" style="38"/>
  </cols>
  <sheetData>
    <row r="1" spans="1:53" ht="14.25" customHeight="1">
      <c r="A1" s="250" t="s">
        <v>211</v>
      </c>
      <c r="B1" s="250"/>
      <c r="C1" s="250"/>
      <c r="D1" s="250"/>
      <c r="E1" s="250"/>
      <c r="F1" s="250"/>
      <c r="G1" s="250"/>
      <c r="H1" s="250"/>
      <c r="O1" s="39"/>
      <c r="P1" s="40"/>
      <c r="Q1" s="40"/>
      <c r="R1" s="40"/>
      <c r="S1" s="40"/>
      <c r="T1" s="40"/>
      <c r="U1" s="40"/>
      <c r="V1" s="40"/>
      <c r="W1" s="40"/>
      <c r="X1" s="40"/>
      <c r="Y1" s="41"/>
      <c r="Z1" s="41"/>
      <c r="AA1" s="41"/>
      <c r="AB1" s="41"/>
      <c r="AC1" s="39"/>
      <c r="AD1" s="39"/>
      <c r="AE1" s="39"/>
      <c r="AF1" s="39"/>
      <c r="AG1" s="39"/>
      <c r="AH1" s="39"/>
      <c r="AI1" s="39"/>
      <c r="AJ1" s="39"/>
      <c r="AK1" s="220"/>
      <c r="AL1" s="220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</row>
    <row r="2" spans="1:53" ht="18">
      <c r="A2" s="254" t="s">
        <v>358</v>
      </c>
      <c r="B2" s="254"/>
      <c r="C2" s="254"/>
      <c r="D2" s="254"/>
      <c r="E2" s="254"/>
      <c r="F2" s="254"/>
      <c r="G2" s="254"/>
      <c r="H2" s="254"/>
      <c r="O2" s="39"/>
      <c r="P2" s="40"/>
      <c r="Q2" s="40"/>
      <c r="R2" s="40"/>
      <c r="S2" s="40"/>
      <c r="T2" s="40"/>
      <c r="U2" s="40"/>
      <c r="V2" s="40"/>
      <c r="W2" s="40"/>
      <c r="X2" s="40"/>
      <c r="Y2" s="41"/>
      <c r="Z2" s="41"/>
      <c r="AA2" s="41"/>
      <c r="AB2" s="41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</row>
    <row r="3" spans="1:53">
      <c r="A3" s="254" t="s">
        <v>212</v>
      </c>
      <c r="B3" s="254"/>
      <c r="C3" s="254"/>
      <c r="D3" s="254"/>
      <c r="E3" s="254"/>
      <c r="F3" s="254"/>
      <c r="G3" s="254"/>
      <c r="H3" s="254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</row>
    <row r="4" spans="1:53" ht="11.25" customHeight="1">
      <c r="A4" s="256" t="s">
        <v>213</v>
      </c>
      <c r="B4" s="256"/>
      <c r="C4" s="256"/>
      <c r="D4" s="256"/>
      <c r="E4" s="256"/>
      <c r="F4" s="256"/>
      <c r="G4" s="256"/>
      <c r="H4" s="256"/>
      <c r="O4" s="39"/>
      <c r="P4" s="44"/>
      <c r="Q4" s="44"/>
      <c r="R4" s="44"/>
      <c r="S4" s="44"/>
      <c r="T4" s="44"/>
      <c r="U4" s="44"/>
      <c r="V4" s="39"/>
      <c r="W4" s="44"/>
      <c r="X4" s="44"/>
      <c r="Y4" s="44"/>
      <c r="Z4" s="44"/>
      <c r="AA4" s="44"/>
      <c r="AB4" s="44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</row>
    <row r="5" spans="1:53" ht="41.25" customHeight="1">
      <c r="A5" s="255"/>
      <c r="B5" s="255"/>
      <c r="C5" s="255"/>
      <c r="D5" s="255"/>
      <c r="E5" s="255"/>
      <c r="F5" s="255"/>
      <c r="G5" s="255"/>
      <c r="H5" s="255"/>
      <c r="O5" s="39"/>
      <c r="P5" s="45"/>
      <c r="Q5" s="45"/>
      <c r="R5" s="45"/>
      <c r="S5" s="45"/>
      <c r="T5" s="45"/>
      <c r="U5" s="45"/>
      <c r="V5" s="39"/>
      <c r="W5" s="45"/>
      <c r="X5" s="45"/>
      <c r="Y5" s="45"/>
      <c r="Z5" s="45"/>
      <c r="AA5" s="45"/>
      <c r="AB5" s="45"/>
      <c r="AC5" s="39"/>
      <c r="AD5" s="39"/>
      <c r="AE5" s="39"/>
      <c r="AF5" s="39"/>
      <c r="AG5" s="39"/>
      <c r="AH5" s="39"/>
      <c r="AI5" s="39"/>
      <c r="AJ5" s="39"/>
      <c r="AK5" s="43"/>
      <c r="AL5" s="46"/>
      <c r="AM5" s="39"/>
      <c r="AN5" s="47"/>
      <c r="AO5" s="39"/>
      <c r="AP5" s="47"/>
      <c r="AQ5" s="39"/>
      <c r="AR5" s="43"/>
      <c r="AS5" s="39"/>
      <c r="AT5" s="39"/>
      <c r="AU5" s="39"/>
      <c r="AV5" s="39"/>
      <c r="AW5" s="43"/>
      <c r="AX5" s="48"/>
      <c r="AY5" s="48"/>
      <c r="AZ5" s="48"/>
      <c r="BA5" s="39"/>
    </row>
    <row r="6" spans="1:53" ht="12" customHeight="1">
      <c r="A6" s="256" t="s">
        <v>166</v>
      </c>
      <c r="B6" s="256"/>
      <c r="C6" s="256"/>
      <c r="D6" s="256"/>
      <c r="E6" s="256"/>
      <c r="F6" s="256"/>
      <c r="G6" s="256"/>
      <c r="H6" s="256"/>
      <c r="O6" s="39"/>
      <c r="P6" s="50"/>
      <c r="Q6" s="50"/>
      <c r="R6" s="50"/>
      <c r="S6" s="50"/>
      <c r="T6" s="50"/>
      <c r="U6" s="50"/>
      <c r="V6" s="39"/>
      <c r="W6" s="50"/>
      <c r="X6" s="50"/>
      <c r="Y6" s="50"/>
      <c r="Z6" s="50"/>
      <c r="AA6" s="50"/>
      <c r="AB6" s="50"/>
      <c r="AC6" s="39"/>
      <c r="AD6" s="39"/>
      <c r="AE6" s="39"/>
      <c r="AF6" s="39"/>
      <c r="AG6" s="39"/>
      <c r="AH6" s="39"/>
      <c r="AI6" s="39"/>
      <c r="AJ6" s="39"/>
      <c r="AK6" s="43"/>
      <c r="AL6" s="46"/>
      <c r="AM6" s="39"/>
      <c r="AN6" s="47"/>
      <c r="AO6" s="39"/>
      <c r="AP6" s="47"/>
      <c r="AQ6" s="39"/>
      <c r="AR6" s="43"/>
      <c r="AS6" s="39"/>
      <c r="AT6" s="39"/>
      <c r="AU6" s="39"/>
      <c r="AV6" s="39"/>
      <c r="AW6" s="43"/>
      <c r="AX6" s="48"/>
      <c r="AY6" s="48"/>
      <c r="AZ6" s="48"/>
      <c r="BA6" s="39"/>
    </row>
    <row r="7" spans="1:53" ht="5.25" customHeight="1">
      <c r="A7" s="51"/>
      <c r="B7" s="51"/>
      <c r="C7" s="51"/>
      <c r="D7" s="51"/>
      <c r="E7" s="51"/>
      <c r="F7" s="51"/>
      <c r="G7" s="51"/>
      <c r="H7" s="51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43"/>
      <c r="AL7" s="46"/>
      <c r="AM7" s="39"/>
      <c r="AN7" s="47"/>
      <c r="AO7" s="39"/>
      <c r="AP7" s="47"/>
      <c r="AQ7" s="39"/>
      <c r="AR7" s="43"/>
      <c r="AS7" s="39"/>
      <c r="AT7" s="39"/>
      <c r="AU7" s="39"/>
      <c r="AV7" s="39"/>
      <c r="AW7" s="43"/>
      <c r="AX7" s="48"/>
      <c r="AY7" s="48"/>
      <c r="AZ7" s="48"/>
      <c r="BA7" s="39"/>
    </row>
    <row r="8" spans="1:53">
      <c r="A8" s="145" t="s">
        <v>214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7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43"/>
      <c r="AL8" s="46"/>
      <c r="AM8" s="39"/>
      <c r="AN8" s="47"/>
      <c r="AO8" s="39"/>
      <c r="AP8" s="47"/>
      <c r="AQ8" s="39"/>
      <c r="AR8" s="43"/>
      <c r="AS8" s="39"/>
      <c r="AT8" s="39"/>
      <c r="AU8" s="39"/>
      <c r="AV8" s="39"/>
      <c r="AW8" s="43"/>
      <c r="AX8" s="48"/>
      <c r="AY8" s="48"/>
      <c r="AZ8" s="48"/>
      <c r="BA8" s="39"/>
    </row>
    <row r="9" spans="1:53" ht="3" customHeight="1">
      <c r="A9" s="146"/>
      <c r="B9" s="146"/>
      <c r="C9" s="146"/>
      <c r="D9" s="146"/>
      <c r="E9" s="146"/>
      <c r="F9" s="146"/>
      <c r="G9" s="146"/>
      <c r="H9" s="146"/>
      <c r="I9" s="146"/>
      <c r="J9" s="146"/>
      <c r="M9" s="148"/>
      <c r="N9" s="148"/>
      <c r="P9" s="149"/>
      <c r="Q9" s="149"/>
      <c r="S9" s="148"/>
      <c r="T9" s="148"/>
      <c r="U9" s="148"/>
      <c r="V9" s="148"/>
      <c r="W9" s="148"/>
      <c r="X9" s="148"/>
      <c r="Y9" s="148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43"/>
      <c r="AL9" s="46"/>
      <c r="AM9" s="39"/>
      <c r="AN9" s="47"/>
      <c r="AO9" s="39"/>
      <c r="AP9" s="47"/>
      <c r="AQ9" s="39"/>
      <c r="AR9" s="43"/>
      <c r="AS9" s="39"/>
      <c r="AT9" s="39"/>
      <c r="AU9" s="39"/>
      <c r="AV9" s="39"/>
      <c r="AW9" s="43"/>
      <c r="AX9" s="48"/>
      <c r="AY9" s="48"/>
      <c r="AZ9" s="48"/>
      <c r="BA9" s="39"/>
    </row>
    <row r="10" spans="1:53" ht="23.25" customHeight="1">
      <c r="A10" s="293" t="s">
        <v>215</v>
      </c>
      <c r="B10" s="301" t="s">
        <v>291</v>
      </c>
      <c r="C10" s="302"/>
      <c r="D10" s="303"/>
      <c r="E10" s="295" t="s">
        <v>216</v>
      </c>
      <c r="F10" s="295"/>
      <c r="G10" s="295" t="s">
        <v>374</v>
      </c>
      <c r="H10" s="295"/>
      <c r="K10" s="151"/>
      <c r="L10" s="148"/>
      <c r="M10" s="148"/>
      <c r="N10" s="148"/>
      <c r="O10" s="149"/>
      <c r="P10" s="149"/>
      <c r="Q10" s="149"/>
      <c r="S10" s="148"/>
      <c r="T10" s="148"/>
      <c r="U10" s="148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43"/>
      <c r="AL10" s="46"/>
      <c r="AM10" s="39"/>
      <c r="AN10" s="47"/>
      <c r="AO10" s="39"/>
      <c r="AP10" s="47"/>
      <c r="AQ10" s="39"/>
      <c r="AR10" s="43"/>
      <c r="AS10" s="39"/>
      <c r="AT10" s="39"/>
      <c r="AU10" s="39"/>
      <c r="AV10" s="39"/>
      <c r="AW10" s="43"/>
      <c r="AX10" s="48"/>
      <c r="AY10" s="48"/>
      <c r="AZ10" s="48"/>
      <c r="BA10" s="39"/>
    </row>
    <row r="11" spans="1:53">
      <c r="A11" s="294"/>
      <c r="B11" s="304"/>
      <c r="C11" s="305"/>
      <c r="D11" s="306"/>
      <c r="E11" s="150" t="s">
        <v>375</v>
      </c>
      <c r="F11" s="150" t="s">
        <v>306</v>
      </c>
      <c r="G11" s="150" t="s">
        <v>119</v>
      </c>
      <c r="H11" s="154" t="s">
        <v>120</v>
      </c>
      <c r="I11" s="155"/>
      <c r="M11" s="156"/>
      <c r="N11" s="156"/>
      <c r="P11" s="148"/>
      <c r="S11" s="148"/>
      <c r="T11" s="148"/>
      <c r="U11" s="148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43"/>
      <c r="AL11" s="46"/>
      <c r="AM11" s="39"/>
      <c r="AN11" s="47"/>
      <c r="AO11" s="39"/>
      <c r="AP11" s="47"/>
      <c r="AQ11" s="39"/>
      <c r="AR11" s="43"/>
      <c r="AS11" s="39"/>
      <c r="AT11" s="39"/>
      <c r="AU11" s="39"/>
      <c r="AV11" s="39"/>
      <c r="AW11" s="43"/>
      <c r="AX11" s="48"/>
      <c r="AY11" s="48"/>
      <c r="AZ11" s="48"/>
      <c r="BA11" s="39"/>
    </row>
    <row r="12" spans="1:53" ht="13.9" customHeight="1">
      <c r="A12" s="157">
        <v>1</v>
      </c>
      <c r="B12" s="158" t="s">
        <v>288</v>
      </c>
      <c r="C12" s="159"/>
      <c r="D12" s="160"/>
      <c r="E12" s="161"/>
      <c r="F12" s="152" t="s">
        <v>303</v>
      </c>
      <c r="G12" s="162"/>
      <c r="H12" s="163"/>
      <c r="I12" s="149"/>
      <c r="M12" s="156"/>
      <c r="N12" s="156"/>
      <c r="P12" s="148"/>
      <c r="S12" s="148"/>
      <c r="T12" s="148"/>
      <c r="U12" s="148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43"/>
      <c r="AL12" s="46"/>
      <c r="AM12" s="39"/>
      <c r="AN12" s="47"/>
      <c r="AO12" s="39"/>
      <c r="AP12" s="47"/>
      <c r="AQ12" s="39"/>
      <c r="AR12" s="43"/>
      <c r="AS12" s="39"/>
      <c r="AT12" s="39"/>
      <c r="AU12" s="39"/>
      <c r="AV12" s="39"/>
      <c r="AW12" s="43"/>
      <c r="AX12" s="48"/>
      <c r="AY12" s="48"/>
      <c r="AZ12" s="48"/>
      <c r="BA12" s="39"/>
    </row>
    <row r="13" spans="1:53" ht="13.9" customHeight="1">
      <c r="A13" s="164"/>
      <c r="B13" s="165"/>
      <c r="C13" s="148"/>
      <c r="D13" s="166"/>
      <c r="E13" s="161"/>
      <c r="F13" s="152" t="s">
        <v>303</v>
      </c>
      <c r="G13" s="162"/>
      <c r="H13" s="163"/>
      <c r="I13" s="149"/>
      <c r="M13" s="156"/>
      <c r="N13" s="156"/>
      <c r="P13" s="148"/>
      <c r="S13" s="148"/>
      <c r="T13" s="148"/>
      <c r="U13" s="148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43"/>
      <c r="AL13" s="46"/>
      <c r="AM13" s="39"/>
      <c r="AN13" s="47"/>
      <c r="AO13" s="39"/>
      <c r="AP13" s="47"/>
      <c r="AQ13" s="39"/>
      <c r="AR13" s="43"/>
      <c r="AS13" s="39"/>
      <c r="AT13" s="39"/>
      <c r="AU13" s="39"/>
      <c r="AV13" s="39"/>
      <c r="AW13" s="43"/>
      <c r="AX13" s="48"/>
      <c r="AY13" s="48"/>
      <c r="AZ13" s="48"/>
      <c r="BA13" s="39"/>
    </row>
    <row r="14" spans="1:53" ht="13.9" customHeight="1">
      <c r="A14" s="164"/>
      <c r="B14" s="165"/>
      <c r="C14" s="148"/>
      <c r="D14" s="166"/>
      <c r="E14" s="161"/>
      <c r="F14" s="152" t="s">
        <v>303</v>
      </c>
      <c r="G14" s="162"/>
      <c r="H14" s="163"/>
      <c r="I14" s="149"/>
      <c r="M14" s="156"/>
      <c r="N14" s="156"/>
      <c r="P14" s="148"/>
      <c r="S14" s="148"/>
      <c r="T14" s="148"/>
      <c r="U14" s="148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43"/>
      <c r="AL14" s="46"/>
      <c r="AM14" s="39"/>
      <c r="AN14" s="47"/>
      <c r="AO14" s="39"/>
      <c r="AP14" s="47"/>
      <c r="AQ14" s="39"/>
      <c r="AR14" s="43"/>
      <c r="AS14" s="39"/>
      <c r="AT14" s="39"/>
      <c r="AU14" s="39"/>
      <c r="AV14" s="39"/>
      <c r="AW14" s="43"/>
      <c r="AX14" s="48"/>
      <c r="AY14" s="48"/>
      <c r="AZ14" s="48"/>
      <c r="BA14" s="39"/>
    </row>
    <row r="15" spans="1:53" ht="13.9" customHeight="1">
      <c r="A15" s="164"/>
      <c r="B15" s="165"/>
      <c r="C15" s="148"/>
      <c r="D15" s="166"/>
      <c r="E15" s="161"/>
      <c r="F15" s="152" t="s">
        <v>303</v>
      </c>
      <c r="G15" s="162"/>
      <c r="H15" s="163"/>
      <c r="I15" s="149"/>
      <c r="M15" s="156"/>
      <c r="N15" s="156"/>
      <c r="P15" s="148"/>
      <c r="S15" s="148"/>
      <c r="T15" s="148"/>
      <c r="U15" s="148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43"/>
      <c r="AL15" s="46"/>
      <c r="AM15" s="39"/>
      <c r="AN15" s="47"/>
      <c r="AO15" s="39"/>
      <c r="AP15" s="47"/>
      <c r="AQ15" s="39"/>
      <c r="AR15" s="43"/>
      <c r="AS15" s="39"/>
      <c r="AT15" s="39"/>
      <c r="AU15" s="39"/>
      <c r="AV15" s="39"/>
      <c r="AW15" s="43"/>
      <c r="AX15" s="48"/>
      <c r="AY15" s="48"/>
      <c r="AZ15" s="48"/>
      <c r="BA15" s="39"/>
    </row>
    <row r="16" spans="1:53" ht="13.9" customHeight="1">
      <c r="A16" s="167"/>
      <c r="B16" s="168" t="s">
        <v>376</v>
      </c>
      <c r="C16" s="169"/>
      <c r="D16" s="170">
        <f>SUM(E12:E16)</f>
        <v>0</v>
      </c>
      <c r="E16" s="161"/>
      <c r="F16" s="152" t="s">
        <v>303</v>
      </c>
      <c r="G16" s="162"/>
      <c r="H16" s="163"/>
      <c r="I16" s="149"/>
      <c r="M16" s="156"/>
      <c r="N16" s="156"/>
      <c r="P16" s="148"/>
      <c r="S16" s="148"/>
      <c r="T16" s="148"/>
      <c r="U16" s="148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43"/>
      <c r="AL16" s="46"/>
      <c r="AM16" s="39"/>
      <c r="AN16" s="47"/>
      <c r="AO16" s="39"/>
      <c r="AP16" s="47"/>
      <c r="AQ16" s="39"/>
      <c r="AR16" s="43"/>
      <c r="AS16" s="39"/>
      <c r="AT16" s="39"/>
      <c r="AU16" s="39"/>
      <c r="AV16" s="39"/>
      <c r="AW16" s="43"/>
      <c r="AX16" s="48"/>
      <c r="AY16" s="48"/>
      <c r="AZ16" s="48"/>
      <c r="BA16" s="39"/>
    </row>
    <row r="17" spans="1:53" ht="13.9" customHeight="1">
      <c r="A17" s="164">
        <v>2</v>
      </c>
      <c r="B17" s="158" t="s">
        <v>289</v>
      </c>
      <c r="C17" s="159"/>
      <c r="D17" s="166"/>
      <c r="E17" s="171"/>
      <c r="F17" s="60" t="s">
        <v>303</v>
      </c>
      <c r="G17" s="162"/>
      <c r="H17" s="163"/>
      <c r="I17" s="149"/>
      <c r="M17" s="156"/>
      <c r="N17" s="156"/>
      <c r="P17" s="148"/>
      <c r="S17" s="148"/>
      <c r="T17" s="148"/>
      <c r="U17" s="148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43"/>
      <c r="AL17" s="46"/>
      <c r="AM17" s="39"/>
      <c r="AN17" s="47"/>
      <c r="AO17" s="39"/>
      <c r="AP17" s="47"/>
      <c r="AQ17" s="39"/>
      <c r="AR17" s="43"/>
      <c r="AS17" s="39"/>
      <c r="AT17" s="39"/>
      <c r="AU17" s="39"/>
      <c r="AV17" s="39"/>
      <c r="AW17" s="43"/>
      <c r="AX17" s="48"/>
      <c r="AY17" s="48"/>
      <c r="AZ17" s="48"/>
      <c r="BA17" s="39"/>
    </row>
    <row r="18" spans="1:53" ht="13.9" customHeight="1">
      <c r="A18" s="164"/>
      <c r="B18" s="165"/>
      <c r="C18" s="148"/>
      <c r="D18" s="166"/>
      <c r="E18" s="171"/>
      <c r="F18" s="60" t="s">
        <v>303</v>
      </c>
      <c r="G18" s="162"/>
      <c r="H18" s="163"/>
      <c r="I18" s="149"/>
      <c r="M18" s="156"/>
      <c r="N18" s="156"/>
      <c r="P18" s="148"/>
      <c r="S18" s="148"/>
      <c r="T18" s="148"/>
      <c r="U18" s="148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43"/>
      <c r="AL18" s="46"/>
      <c r="AM18" s="39"/>
      <c r="AN18" s="47"/>
      <c r="AO18" s="39"/>
      <c r="AP18" s="47"/>
      <c r="AQ18" s="39"/>
      <c r="AR18" s="43"/>
      <c r="AS18" s="39"/>
      <c r="AT18" s="39"/>
      <c r="AU18" s="39"/>
      <c r="AV18" s="39"/>
      <c r="AW18" s="43"/>
      <c r="AX18" s="48"/>
      <c r="AY18" s="48"/>
      <c r="AZ18" s="48"/>
      <c r="BA18" s="39"/>
    </row>
    <row r="19" spans="1:53" ht="13.9" customHeight="1">
      <c r="A19" s="167"/>
      <c r="B19" s="168" t="s">
        <v>376</v>
      </c>
      <c r="C19" s="169"/>
      <c r="D19" s="170">
        <f>SUM(E17:E19)</f>
        <v>0</v>
      </c>
      <c r="E19" s="171"/>
      <c r="F19" s="60" t="s">
        <v>303</v>
      </c>
      <c r="G19" s="162"/>
      <c r="H19" s="163"/>
      <c r="I19" s="149"/>
      <c r="M19" s="156"/>
      <c r="N19" s="156"/>
      <c r="P19" s="148"/>
      <c r="S19" s="148"/>
      <c r="T19" s="148"/>
      <c r="U19" s="148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43"/>
      <c r="AL19" s="46"/>
      <c r="AM19" s="39"/>
      <c r="AN19" s="47"/>
      <c r="AO19" s="39"/>
      <c r="AP19" s="47"/>
      <c r="AQ19" s="39"/>
      <c r="AR19" s="43"/>
      <c r="AS19" s="39"/>
      <c r="AT19" s="39"/>
      <c r="AU19" s="39"/>
      <c r="AV19" s="39"/>
      <c r="AW19" s="43"/>
      <c r="AX19" s="48"/>
      <c r="AY19" s="48"/>
      <c r="AZ19" s="48"/>
      <c r="BA19" s="39"/>
    </row>
    <row r="20" spans="1:53" ht="13.9" customHeight="1">
      <c r="A20" s="164">
        <v>3</v>
      </c>
      <c r="B20" s="158" t="s">
        <v>290</v>
      </c>
      <c r="C20" s="159"/>
      <c r="D20" s="160"/>
      <c r="E20" s="172"/>
      <c r="F20" s="173"/>
      <c r="G20" s="162"/>
      <c r="H20" s="163"/>
      <c r="I20" s="149"/>
      <c r="M20" s="156"/>
      <c r="N20" s="156"/>
      <c r="P20" s="148"/>
      <c r="S20" s="148"/>
      <c r="T20" s="148"/>
      <c r="U20" s="148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43"/>
      <c r="AL20" s="46"/>
      <c r="AM20" s="39"/>
      <c r="AN20" s="47"/>
      <c r="AO20" s="39"/>
      <c r="AP20" s="47"/>
      <c r="AQ20" s="39"/>
      <c r="AR20" s="43"/>
      <c r="AS20" s="39"/>
      <c r="AT20" s="39"/>
      <c r="AU20" s="39"/>
      <c r="AV20" s="39"/>
      <c r="AW20" s="43"/>
      <c r="AX20" s="48"/>
      <c r="AY20" s="48"/>
      <c r="AZ20" s="48"/>
      <c r="BA20" s="39"/>
    </row>
    <row r="21" spans="1:53" ht="13.9" customHeight="1">
      <c r="A21" s="167"/>
      <c r="B21" s="174" t="s">
        <v>305</v>
      </c>
      <c r="C21" s="169">
        <f>SUM(E20:E21)</f>
        <v>0</v>
      </c>
      <c r="D21" s="175">
        <f>SUM(F20:F21)</f>
        <v>0</v>
      </c>
      <c r="E21" s="172"/>
      <c r="F21" s="173"/>
      <c r="G21" s="162"/>
      <c r="H21" s="163"/>
      <c r="I21" s="149"/>
      <c r="M21" s="156"/>
      <c r="N21" s="156"/>
      <c r="P21" s="148"/>
      <c r="S21" s="148"/>
      <c r="T21" s="148"/>
      <c r="U21" s="148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43"/>
      <c r="AL21" s="46"/>
      <c r="AM21" s="39"/>
      <c r="AN21" s="47"/>
      <c r="AO21" s="39"/>
      <c r="AP21" s="47"/>
      <c r="AQ21" s="39"/>
      <c r="AR21" s="43"/>
      <c r="AS21" s="39"/>
      <c r="AT21" s="39"/>
      <c r="AU21" s="39"/>
      <c r="AV21" s="39"/>
      <c r="AW21" s="43"/>
      <c r="AX21" s="48"/>
      <c r="AY21" s="48"/>
      <c r="AZ21" s="48"/>
      <c r="BA21" s="39"/>
    </row>
    <row r="22" spans="1:53" ht="13.9" customHeight="1">
      <c r="A22" s="164">
        <v>4</v>
      </c>
      <c r="B22" s="158" t="s">
        <v>293</v>
      </c>
      <c r="C22" s="159"/>
      <c r="D22" s="160"/>
      <c r="E22" s="172"/>
      <c r="F22" s="173"/>
      <c r="G22" s="162"/>
      <c r="H22" s="163"/>
      <c r="I22" s="149"/>
      <c r="M22" s="156"/>
      <c r="N22" s="156"/>
      <c r="P22" s="148"/>
      <c r="S22" s="148"/>
      <c r="T22" s="148"/>
      <c r="U22" s="148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43"/>
      <c r="AL22" s="46"/>
      <c r="AM22" s="39"/>
      <c r="AN22" s="47"/>
      <c r="AO22" s="39"/>
      <c r="AP22" s="47"/>
      <c r="AQ22" s="39"/>
      <c r="AR22" s="43"/>
      <c r="AS22" s="39"/>
      <c r="AT22" s="39"/>
      <c r="AU22" s="39"/>
      <c r="AV22" s="39"/>
      <c r="AW22" s="43"/>
      <c r="AX22" s="48"/>
      <c r="AY22" s="48"/>
      <c r="AZ22" s="48"/>
      <c r="BA22" s="39"/>
    </row>
    <row r="23" spans="1:53" ht="13.9" customHeight="1">
      <c r="A23" s="116"/>
      <c r="B23" s="174" t="s">
        <v>305</v>
      </c>
      <c r="C23" s="169">
        <f>SUM(E22:E23)</f>
        <v>0</v>
      </c>
      <c r="D23" s="175">
        <f>SUM(F22:F23)</f>
        <v>0</v>
      </c>
      <c r="E23" s="172"/>
      <c r="F23" s="173"/>
      <c r="G23" s="162"/>
      <c r="H23" s="163"/>
      <c r="I23" s="149"/>
      <c r="M23" s="151"/>
      <c r="N23" s="151"/>
      <c r="O23" s="151"/>
      <c r="P23" s="151"/>
      <c r="Q23" s="151"/>
      <c r="S23" s="151"/>
      <c r="T23" s="151"/>
      <c r="U23" s="151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43"/>
      <c r="AL23" s="46"/>
      <c r="AM23" s="39"/>
      <c r="AN23" s="47"/>
      <c r="AO23" s="39"/>
      <c r="AP23" s="47"/>
      <c r="AQ23" s="39"/>
      <c r="AR23" s="43"/>
      <c r="AS23" s="39"/>
      <c r="AT23" s="39"/>
      <c r="AU23" s="39"/>
      <c r="AV23" s="39"/>
      <c r="AW23" s="43"/>
      <c r="AX23" s="48"/>
      <c r="AY23" s="48"/>
      <c r="AZ23" s="48"/>
      <c r="BA23" s="39"/>
    </row>
    <row r="24" spans="1:53" ht="29.25" customHeight="1">
      <c r="A24" s="176">
        <v>5</v>
      </c>
      <c r="B24" s="300"/>
      <c r="C24" s="300"/>
      <c r="D24" s="300"/>
      <c r="E24" s="172"/>
      <c r="F24" s="177"/>
      <c r="G24" s="163"/>
      <c r="H24" s="163"/>
      <c r="I24" s="151"/>
      <c r="L24" s="146"/>
      <c r="M24" s="146"/>
      <c r="N24" s="146"/>
      <c r="O24" s="146"/>
      <c r="P24" s="146"/>
      <c r="R24" s="146"/>
      <c r="S24" s="146"/>
      <c r="T24" s="146"/>
      <c r="U24" s="146"/>
      <c r="V24" s="146"/>
      <c r="W24" s="146"/>
      <c r="X24" s="146"/>
      <c r="Y24" s="147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43"/>
      <c r="AL24" s="46"/>
      <c r="AM24" s="39"/>
      <c r="AN24" s="47"/>
      <c r="AO24" s="39"/>
      <c r="AP24" s="47"/>
      <c r="AQ24" s="39"/>
      <c r="AR24" s="43"/>
      <c r="AS24" s="39"/>
      <c r="AT24" s="39"/>
      <c r="AU24" s="39"/>
      <c r="AV24" s="39"/>
      <c r="AW24" s="43"/>
      <c r="AX24" s="48"/>
      <c r="AY24" s="48"/>
      <c r="AZ24" s="48"/>
      <c r="BA24" s="39"/>
    </row>
    <row r="25" spans="1:53" ht="7.5" customHeight="1">
      <c r="A25" s="52"/>
      <c r="B25" s="43"/>
      <c r="C25" s="43"/>
      <c r="D25" s="43"/>
      <c r="E25" s="43"/>
      <c r="F25" s="43"/>
      <c r="G25" s="43"/>
      <c r="H25" s="43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7"/>
      <c r="AC25" s="39"/>
      <c r="AD25" s="39"/>
      <c r="AE25" s="39"/>
      <c r="AF25" s="39"/>
      <c r="AG25" s="39"/>
      <c r="AH25" s="39"/>
      <c r="AI25" s="39"/>
      <c r="AJ25" s="39"/>
      <c r="AK25" s="43"/>
      <c r="AL25" s="46"/>
      <c r="AM25" s="39"/>
      <c r="AN25" s="47"/>
      <c r="AO25" s="39"/>
      <c r="AP25" s="47"/>
      <c r="AQ25" s="39"/>
      <c r="AR25" s="43"/>
      <c r="AS25" s="39"/>
      <c r="AT25" s="39"/>
      <c r="AU25" s="39"/>
      <c r="AV25" s="39"/>
      <c r="AW25" s="43"/>
      <c r="AX25" s="48"/>
      <c r="AY25" s="48"/>
      <c r="AZ25" s="48"/>
      <c r="BA25" s="39"/>
    </row>
    <row r="26" spans="1:53">
      <c r="A26" s="145" t="s">
        <v>217</v>
      </c>
      <c r="B26" s="43"/>
      <c r="C26" s="43"/>
      <c r="D26" s="43"/>
      <c r="E26" s="43"/>
      <c r="F26" s="43"/>
      <c r="G26" s="43"/>
      <c r="H26" s="43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7"/>
      <c r="AC26" s="39"/>
      <c r="AD26" s="39"/>
      <c r="AE26" s="39"/>
      <c r="AF26" s="39"/>
      <c r="AG26" s="39"/>
      <c r="AH26" s="39"/>
      <c r="AI26" s="39"/>
      <c r="AJ26" s="39"/>
      <c r="AK26" s="43"/>
      <c r="AL26" s="46"/>
      <c r="AM26" s="39"/>
      <c r="AN26" s="47"/>
      <c r="AO26" s="39"/>
      <c r="AP26" s="47"/>
      <c r="AQ26" s="39"/>
      <c r="AR26" s="43"/>
      <c r="AS26" s="39"/>
      <c r="AT26" s="39"/>
      <c r="AU26" s="39"/>
      <c r="AV26" s="39"/>
      <c r="AW26" s="43"/>
      <c r="AX26" s="48"/>
      <c r="AY26" s="48"/>
      <c r="AZ26" s="48"/>
      <c r="BA26" s="39"/>
    </row>
    <row r="27" spans="1:53" ht="2.25" customHeight="1">
      <c r="A27" s="52"/>
      <c r="B27" s="43"/>
      <c r="C27" s="43"/>
      <c r="D27" s="43"/>
      <c r="E27" s="43"/>
      <c r="F27" s="43"/>
      <c r="G27" s="43"/>
      <c r="H27" s="43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7"/>
      <c r="AC27" s="39"/>
      <c r="AD27" s="39"/>
      <c r="AE27" s="39"/>
      <c r="AF27" s="39"/>
      <c r="AG27" s="39"/>
      <c r="AH27" s="39"/>
      <c r="AI27" s="39"/>
      <c r="AJ27" s="39"/>
      <c r="AK27" s="43"/>
      <c r="AL27" s="46"/>
      <c r="AM27" s="39"/>
      <c r="AN27" s="47"/>
      <c r="AO27" s="39"/>
      <c r="AP27" s="47"/>
      <c r="AQ27" s="39"/>
      <c r="AR27" s="43"/>
      <c r="AS27" s="39"/>
      <c r="AT27" s="39"/>
      <c r="AU27" s="39"/>
      <c r="AV27" s="39"/>
      <c r="AW27" s="43"/>
      <c r="AX27" s="48"/>
      <c r="AY27" s="48"/>
      <c r="AZ27" s="48"/>
      <c r="BA27" s="39"/>
    </row>
    <row r="28" spans="1:53" ht="38.25" customHeight="1">
      <c r="A28" s="176" t="s">
        <v>215</v>
      </c>
      <c r="B28" s="332" t="s">
        <v>292</v>
      </c>
      <c r="C28" s="333"/>
      <c r="D28" s="334"/>
      <c r="E28" s="308" t="s">
        <v>218</v>
      </c>
      <c r="F28" s="309"/>
      <c r="G28" s="309"/>
      <c r="H28" s="310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7"/>
      <c r="AC28" s="39"/>
      <c r="AD28" s="39"/>
      <c r="AE28" s="39"/>
      <c r="AF28" s="39"/>
      <c r="AG28" s="39"/>
      <c r="AH28" s="39"/>
      <c r="AI28" s="39"/>
      <c r="AJ28" s="39"/>
      <c r="AK28" s="43"/>
      <c r="AL28" s="46"/>
      <c r="AM28" s="39"/>
      <c r="AN28" s="47"/>
      <c r="AO28" s="39"/>
      <c r="AP28" s="47"/>
      <c r="AQ28" s="39"/>
      <c r="AR28" s="43"/>
      <c r="AS28" s="39"/>
      <c r="AT28" s="39"/>
      <c r="AU28" s="39"/>
      <c r="AV28" s="39"/>
      <c r="AW28" s="43"/>
      <c r="AX28" s="48"/>
      <c r="AY28" s="48"/>
      <c r="AZ28" s="48"/>
      <c r="BA28" s="39"/>
    </row>
    <row r="29" spans="1:53" ht="50.1" customHeight="1">
      <c r="A29" s="60">
        <v>6</v>
      </c>
      <c r="B29" s="264" t="s">
        <v>298</v>
      </c>
      <c r="C29" s="296"/>
      <c r="D29" s="265"/>
      <c r="E29" s="311"/>
      <c r="F29" s="312"/>
      <c r="G29" s="312"/>
      <c r="H29" s="313"/>
      <c r="I29" s="151"/>
      <c r="J29" s="151"/>
      <c r="K29" s="151"/>
      <c r="L29" s="151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7"/>
      <c r="AC29" s="39"/>
      <c r="AD29" s="39"/>
      <c r="AE29" s="39"/>
      <c r="AF29" s="39"/>
      <c r="AG29" s="39"/>
      <c r="AH29" s="39"/>
      <c r="AI29" s="39"/>
      <c r="AJ29" s="39"/>
      <c r="AK29" s="43"/>
      <c r="AL29" s="46"/>
      <c r="AM29" s="39"/>
      <c r="AN29" s="47"/>
      <c r="AO29" s="39"/>
      <c r="AP29" s="47"/>
      <c r="AQ29" s="39"/>
      <c r="AR29" s="43"/>
      <c r="AS29" s="39"/>
      <c r="AT29" s="39"/>
      <c r="AU29" s="39"/>
      <c r="AV29" s="39"/>
      <c r="AW29" s="43"/>
      <c r="AX29" s="48"/>
      <c r="AY29" s="48"/>
      <c r="AZ29" s="48"/>
      <c r="BA29" s="39"/>
    </row>
    <row r="30" spans="1:53" ht="50.1" customHeight="1">
      <c r="A30" s="60">
        <v>7</v>
      </c>
      <c r="B30" s="264" t="s">
        <v>299</v>
      </c>
      <c r="C30" s="296"/>
      <c r="D30" s="265"/>
      <c r="E30" s="311"/>
      <c r="F30" s="312"/>
      <c r="G30" s="312"/>
      <c r="H30" s="313"/>
      <c r="I30" s="151"/>
      <c r="J30" s="151"/>
      <c r="K30" s="151"/>
      <c r="L30" s="151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7"/>
      <c r="AC30" s="39"/>
      <c r="AD30" s="39"/>
      <c r="AE30" s="39"/>
      <c r="AF30" s="39"/>
      <c r="AG30" s="39"/>
      <c r="AH30" s="39"/>
      <c r="AI30" s="39"/>
      <c r="AJ30" s="39"/>
      <c r="AK30" s="43"/>
      <c r="AL30" s="46"/>
      <c r="AM30" s="39"/>
      <c r="AN30" s="47"/>
      <c r="AO30" s="39"/>
      <c r="AP30" s="47"/>
      <c r="AQ30" s="39"/>
      <c r="AR30" s="43"/>
      <c r="AS30" s="39"/>
      <c r="AT30" s="39"/>
      <c r="AU30" s="39"/>
      <c r="AV30" s="39"/>
      <c r="AW30" s="43"/>
      <c r="AX30" s="48"/>
      <c r="AY30" s="48"/>
      <c r="AZ30" s="48"/>
      <c r="BA30" s="39"/>
    </row>
    <row r="31" spans="1:53" ht="50.1" customHeight="1">
      <c r="A31" s="60">
        <v>8</v>
      </c>
      <c r="B31" s="264" t="s">
        <v>301</v>
      </c>
      <c r="C31" s="296"/>
      <c r="D31" s="265"/>
      <c r="E31" s="311"/>
      <c r="F31" s="312"/>
      <c r="G31" s="312"/>
      <c r="H31" s="313"/>
      <c r="I31" s="151"/>
      <c r="J31" s="151"/>
      <c r="K31" s="151"/>
      <c r="L31" s="151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7"/>
      <c r="AC31" s="39"/>
      <c r="AD31" s="39"/>
      <c r="AE31" s="39"/>
      <c r="AF31" s="39"/>
      <c r="AG31" s="39"/>
      <c r="AH31" s="39"/>
      <c r="AI31" s="39"/>
      <c r="AJ31" s="39"/>
      <c r="AK31" s="43"/>
      <c r="AL31" s="46"/>
      <c r="AM31" s="39"/>
      <c r="AN31" s="47"/>
      <c r="AO31" s="39"/>
      <c r="AP31" s="47"/>
      <c r="AQ31" s="39"/>
      <c r="AR31" s="43"/>
      <c r="AS31" s="39"/>
      <c r="AT31" s="39"/>
      <c r="AU31" s="39"/>
      <c r="AV31" s="39"/>
      <c r="AW31" s="43"/>
      <c r="AX31" s="48"/>
      <c r="AY31" s="48"/>
      <c r="AZ31" s="48"/>
      <c r="BA31" s="39"/>
    </row>
    <row r="32" spans="1:53" ht="30" customHeight="1">
      <c r="A32" s="60">
        <v>9</v>
      </c>
      <c r="B32" s="264" t="s">
        <v>377</v>
      </c>
      <c r="C32" s="296"/>
      <c r="D32" s="265"/>
      <c r="E32" s="311"/>
      <c r="F32" s="312"/>
      <c r="G32" s="312"/>
      <c r="H32" s="313"/>
      <c r="I32" s="151"/>
      <c r="J32" s="151"/>
      <c r="K32" s="151"/>
      <c r="L32" s="151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7"/>
      <c r="AC32" s="39"/>
      <c r="AD32" s="39"/>
      <c r="AE32" s="39"/>
      <c r="AF32" s="39"/>
      <c r="AG32" s="39"/>
      <c r="AH32" s="39"/>
      <c r="AI32" s="39"/>
      <c r="AJ32" s="39"/>
      <c r="AK32" s="43"/>
      <c r="AL32" s="46"/>
      <c r="AM32" s="39"/>
      <c r="AN32" s="47"/>
      <c r="AO32" s="39"/>
      <c r="AP32" s="47"/>
      <c r="AQ32" s="39"/>
      <c r="AR32" s="43"/>
      <c r="AS32" s="39"/>
      <c r="AT32" s="39"/>
      <c r="AU32" s="39"/>
      <c r="AV32" s="39"/>
      <c r="AW32" s="43"/>
      <c r="AX32" s="48"/>
      <c r="AY32" s="48"/>
      <c r="AZ32" s="48"/>
      <c r="BA32" s="39"/>
    </row>
    <row r="33" spans="1:53" ht="30" customHeight="1">
      <c r="A33" s="60">
        <v>10</v>
      </c>
      <c r="B33" s="264" t="s">
        <v>219</v>
      </c>
      <c r="C33" s="296"/>
      <c r="D33" s="265"/>
      <c r="E33" s="311"/>
      <c r="F33" s="312"/>
      <c r="G33" s="312"/>
      <c r="H33" s="313"/>
      <c r="I33" s="151"/>
      <c r="J33" s="151"/>
      <c r="K33" s="151"/>
      <c r="L33" s="151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7"/>
      <c r="AC33" s="39"/>
      <c r="AD33" s="39"/>
      <c r="AE33" s="39"/>
      <c r="AF33" s="39"/>
      <c r="AG33" s="39"/>
      <c r="AH33" s="39"/>
      <c r="AI33" s="39"/>
      <c r="AJ33" s="39"/>
      <c r="AK33" s="43"/>
      <c r="AL33" s="46"/>
      <c r="AM33" s="39"/>
      <c r="AN33" s="47"/>
      <c r="AO33" s="39"/>
      <c r="AP33" s="47"/>
      <c r="AQ33" s="39"/>
      <c r="AR33" s="43"/>
      <c r="AS33" s="39"/>
      <c r="AT33" s="39"/>
      <c r="AU33" s="39"/>
      <c r="AV33" s="39"/>
      <c r="AW33" s="43"/>
      <c r="AX33" s="48"/>
      <c r="AY33" s="48"/>
      <c r="AZ33" s="48"/>
      <c r="BA33" s="39"/>
    </row>
    <row r="34" spans="1:53" ht="30" customHeight="1">
      <c r="A34" s="60">
        <v>11</v>
      </c>
      <c r="B34" s="264" t="s">
        <v>220</v>
      </c>
      <c r="C34" s="296"/>
      <c r="D34" s="265"/>
      <c r="E34" s="311"/>
      <c r="F34" s="312"/>
      <c r="G34" s="312"/>
      <c r="H34" s="313"/>
      <c r="I34" s="151"/>
      <c r="J34" s="151"/>
      <c r="K34" s="151"/>
      <c r="L34" s="151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7"/>
      <c r="AC34" s="39"/>
      <c r="AD34" s="39"/>
      <c r="AE34" s="39"/>
      <c r="AF34" s="39"/>
      <c r="AG34" s="39"/>
      <c r="AH34" s="39"/>
      <c r="AI34" s="39"/>
      <c r="AJ34" s="39"/>
      <c r="AK34" s="43"/>
      <c r="AL34" s="46"/>
      <c r="AM34" s="39"/>
      <c r="AN34" s="47"/>
      <c r="AO34" s="39"/>
      <c r="AP34" s="47"/>
      <c r="AQ34" s="39"/>
      <c r="AR34" s="43"/>
      <c r="AS34" s="39"/>
      <c r="AT34" s="39"/>
      <c r="AU34" s="39"/>
      <c r="AV34" s="39"/>
      <c r="AW34" s="43"/>
      <c r="AX34" s="48"/>
      <c r="AY34" s="48"/>
      <c r="AZ34" s="48"/>
      <c r="BA34" s="39"/>
    </row>
    <row r="35" spans="1:53" ht="50.1" customHeight="1">
      <c r="A35" s="60">
        <v>12</v>
      </c>
      <c r="B35" s="311"/>
      <c r="C35" s="312"/>
      <c r="D35" s="313"/>
      <c r="E35" s="311"/>
      <c r="F35" s="312"/>
      <c r="G35" s="312"/>
      <c r="H35" s="313"/>
      <c r="I35" s="151"/>
      <c r="J35" s="151"/>
      <c r="K35" s="151"/>
      <c r="L35" s="151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7"/>
      <c r="AC35" s="39"/>
      <c r="AD35" s="39"/>
      <c r="AE35" s="39"/>
      <c r="AF35" s="39"/>
      <c r="AG35" s="39"/>
      <c r="AH35" s="39"/>
      <c r="AI35" s="39"/>
      <c r="AJ35" s="39"/>
      <c r="AK35" s="43"/>
      <c r="AL35" s="46"/>
      <c r="AM35" s="39"/>
      <c r="AN35" s="47"/>
      <c r="AO35" s="39"/>
      <c r="AP35" s="47"/>
      <c r="AQ35" s="39"/>
      <c r="AR35" s="43"/>
      <c r="AS35" s="39"/>
      <c r="AT35" s="39"/>
      <c r="AU35" s="39"/>
      <c r="AV35" s="39"/>
      <c r="AW35" s="43"/>
      <c r="AX35" s="48"/>
      <c r="AY35" s="48"/>
      <c r="AZ35" s="48"/>
      <c r="BA35" s="39"/>
    </row>
    <row r="36" spans="1:53" ht="11.25" customHeight="1">
      <c r="A36" s="52"/>
      <c r="B36" s="43"/>
      <c r="C36" s="43"/>
      <c r="D36" s="43"/>
      <c r="E36" s="43"/>
      <c r="G36" s="151"/>
      <c r="H36" s="151"/>
      <c r="I36" s="151"/>
      <c r="J36" s="151"/>
      <c r="K36" s="151"/>
      <c r="L36" s="151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7"/>
      <c r="AC36" s="39"/>
      <c r="AD36" s="39"/>
      <c r="AE36" s="39"/>
      <c r="AF36" s="39"/>
      <c r="AG36" s="39"/>
      <c r="AH36" s="39"/>
      <c r="AI36" s="39"/>
      <c r="AJ36" s="39"/>
      <c r="AK36" s="43"/>
      <c r="AL36" s="46"/>
      <c r="AM36" s="39"/>
      <c r="AN36" s="47"/>
      <c r="AO36" s="39"/>
      <c r="AP36" s="47"/>
      <c r="AQ36" s="39"/>
      <c r="AR36" s="43"/>
      <c r="AS36" s="39"/>
      <c r="AT36" s="39"/>
      <c r="AU36" s="39"/>
      <c r="AV36" s="39"/>
      <c r="AW36" s="43"/>
      <c r="AX36" s="48"/>
      <c r="AY36" s="48"/>
      <c r="AZ36" s="48"/>
      <c r="BA36" s="39"/>
    </row>
    <row r="37" spans="1:53">
      <c r="A37" s="52" t="s">
        <v>221</v>
      </c>
      <c r="B37" s="43"/>
      <c r="C37" s="43"/>
      <c r="D37" s="43"/>
      <c r="E37" s="43"/>
      <c r="F37" s="43"/>
      <c r="G37" s="43"/>
      <c r="H37" s="43"/>
      <c r="AC37" s="39"/>
      <c r="AD37" s="39"/>
      <c r="AE37" s="39"/>
      <c r="AF37" s="39"/>
      <c r="AG37" s="39"/>
      <c r="AH37" s="39"/>
      <c r="AI37" s="39"/>
      <c r="AJ37" s="39"/>
      <c r="AK37" s="43"/>
      <c r="AL37" s="46"/>
      <c r="AM37" s="39"/>
      <c r="AN37" s="47"/>
      <c r="AO37" s="39"/>
      <c r="AP37" s="47"/>
      <c r="AQ37" s="39"/>
      <c r="AR37" s="43"/>
      <c r="AS37" s="39"/>
      <c r="AT37" s="39"/>
      <c r="AU37" s="39"/>
      <c r="AV37" s="39"/>
      <c r="AW37" s="43"/>
      <c r="AX37" s="48"/>
      <c r="AY37" s="48"/>
      <c r="AZ37" s="48"/>
      <c r="BA37" s="39"/>
    </row>
    <row r="38" spans="1:53" ht="3" customHeight="1">
      <c r="A38" s="43"/>
      <c r="B38" s="43"/>
      <c r="C38" s="43"/>
      <c r="D38" s="43"/>
      <c r="E38" s="43"/>
      <c r="F38" s="43"/>
      <c r="G38" s="43"/>
      <c r="H38" s="43"/>
      <c r="AC38" s="39"/>
      <c r="AD38" s="39"/>
      <c r="AE38" s="39"/>
      <c r="AF38" s="39"/>
      <c r="AG38" s="39"/>
      <c r="AH38" s="39"/>
      <c r="AI38" s="39"/>
      <c r="AJ38" s="39"/>
      <c r="AK38" s="43"/>
      <c r="AL38" s="46"/>
      <c r="AM38" s="39"/>
      <c r="AN38" s="47"/>
      <c r="AO38" s="39"/>
      <c r="AP38" s="47"/>
      <c r="AQ38" s="39"/>
      <c r="AR38" s="43"/>
      <c r="AS38" s="39"/>
      <c r="AT38" s="39"/>
      <c r="AU38" s="39"/>
      <c r="AV38" s="39"/>
      <c r="AW38" s="43"/>
      <c r="AX38" s="48"/>
      <c r="AY38" s="48"/>
      <c r="AZ38" s="48"/>
      <c r="BA38" s="39"/>
    </row>
    <row r="39" spans="1:53" ht="13.9" customHeight="1">
      <c r="A39" s="297" t="s">
        <v>167</v>
      </c>
      <c r="B39" s="298"/>
      <c r="C39" s="298"/>
      <c r="D39" s="299"/>
      <c r="E39" s="253" t="s">
        <v>168</v>
      </c>
      <c r="F39" s="253"/>
      <c r="G39" s="253" t="s">
        <v>112</v>
      </c>
      <c r="H39" s="253"/>
      <c r="AC39" s="39"/>
      <c r="AD39" s="39"/>
      <c r="AE39" s="39"/>
      <c r="AF39" s="39"/>
      <c r="AG39" s="39"/>
      <c r="AH39" s="39"/>
      <c r="AI39" s="39"/>
      <c r="AJ39" s="39"/>
      <c r="AK39" s="43"/>
      <c r="AL39" s="46"/>
      <c r="AM39" s="39"/>
      <c r="AN39" s="47"/>
      <c r="AO39" s="39"/>
      <c r="AP39" s="47"/>
      <c r="AQ39" s="39"/>
      <c r="AR39" s="43"/>
      <c r="AS39" s="39"/>
      <c r="AT39" s="39"/>
      <c r="AU39" s="39"/>
      <c r="AV39" s="39"/>
      <c r="AW39" s="43"/>
      <c r="AX39" s="48"/>
      <c r="AY39" s="48"/>
      <c r="AZ39" s="48"/>
      <c r="BA39" s="39"/>
    </row>
    <row r="40" spans="1:53" ht="13.9" customHeight="1">
      <c r="A40" s="297" t="s">
        <v>190</v>
      </c>
      <c r="B40" s="298"/>
      <c r="C40" s="298"/>
      <c r="D40" s="299"/>
      <c r="E40" s="291"/>
      <c r="F40" s="291"/>
      <c r="G40" s="291"/>
      <c r="H40" s="291"/>
      <c r="Z40" s="45"/>
      <c r="AA40" s="45"/>
      <c r="AB40" s="45"/>
      <c r="AC40" s="39"/>
      <c r="AD40" s="39"/>
      <c r="AE40" s="39"/>
      <c r="AF40" s="39"/>
      <c r="AG40" s="39"/>
      <c r="AH40" s="39"/>
      <c r="AI40" s="39"/>
      <c r="AJ40" s="39"/>
      <c r="AK40" s="43"/>
      <c r="AL40" s="46"/>
      <c r="AM40" s="39"/>
      <c r="AN40" s="47"/>
      <c r="AO40" s="39"/>
      <c r="AP40" s="47"/>
      <c r="AQ40" s="39"/>
      <c r="AR40" s="43"/>
      <c r="AS40" s="39"/>
      <c r="AT40" s="39"/>
      <c r="AU40" s="39"/>
      <c r="AV40" s="39"/>
      <c r="AW40" s="43"/>
      <c r="AX40" s="48"/>
      <c r="AY40" s="48"/>
      <c r="AZ40" s="48"/>
      <c r="BA40" s="39"/>
    </row>
    <row r="41" spans="1:53" ht="13.9" customHeight="1">
      <c r="A41" s="297" t="s">
        <v>191</v>
      </c>
      <c r="B41" s="298"/>
      <c r="C41" s="298"/>
      <c r="D41" s="299"/>
      <c r="E41" s="291"/>
      <c r="F41" s="291"/>
      <c r="G41" s="291"/>
      <c r="H41" s="291"/>
      <c r="Z41" s="50"/>
      <c r="AA41" s="50"/>
      <c r="AB41" s="50"/>
      <c r="AC41" s="39"/>
      <c r="AD41" s="39"/>
      <c r="AE41" s="39"/>
      <c r="AF41" s="39"/>
      <c r="AG41" s="39"/>
      <c r="AH41" s="39"/>
      <c r="AI41" s="39"/>
      <c r="AJ41" s="39"/>
      <c r="AK41" s="43"/>
      <c r="AL41" s="46"/>
      <c r="AM41" s="39"/>
      <c r="AN41" s="47"/>
      <c r="AO41" s="39"/>
      <c r="AP41" s="47"/>
      <c r="AQ41" s="39"/>
      <c r="AR41" s="43"/>
      <c r="AS41" s="39"/>
      <c r="AT41" s="39"/>
      <c r="AU41" s="39"/>
      <c r="AV41" s="39"/>
      <c r="AW41" s="43"/>
      <c r="AX41" s="48"/>
      <c r="AY41" s="48"/>
      <c r="AZ41" s="48"/>
      <c r="BA41" s="39"/>
    </row>
    <row r="42" spans="1:53" ht="13.9" customHeight="1">
      <c r="A42" s="297" t="s">
        <v>192</v>
      </c>
      <c r="B42" s="298"/>
      <c r="C42" s="298"/>
      <c r="D42" s="299"/>
      <c r="E42" s="307"/>
      <c r="F42" s="307"/>
      <c r="G42" s="307"/>
      <c r="H42" s="307"/>
      <c r="L42" s="41"/>
      <c r="M42" s="41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43"/>
      <c r="AL42" s="46"/>
      <c r="AM42" s="39"/>
      <c r="AN42" s="47"/>
      <c r="AO42" s="39"/>
      <c r="AP42" s="47"/>
      <c r="AQ42" s="39"/>
      <c r="AR42" s="43"/>
      <c r="AS42" s="39"/>
      <c r="AT42" s="39"/>
      <c r="AU42" s="39"/>
      <c r="AV42" s="39"/>
      <c r="AW42" s="43"/>
      <c r="AX42" s="48"/>
      <c r="AY42" s="48"/>
      <c r="AZ42" s="48"/>
      <c r="BA42" s="39"/>
    </row>
    <row r="43" spans="1:53" ht="13.9" customHeight="1">
      <c r="A43" s="297" t="s">
        <v>193</v>
      </c>
      <c r="B43" s="298"/>
      <c r="C43" s="298"/>
      <c r="D43" s="299"/>
      <c r="E43" s="307"/>
      <c r="F43" s="307"/>
      <c r="G43" s="307"/>
      <c r="H43" s="307"/>
      <c r="M43" s="41"/>
      <c r="N43" s="41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43"/>
      <c r="AL43" s="46"/>
      <c r="AM43" s="39"/>
      <c r="AN43" s="47"/>
      <c r="AO43" s="39"/>
      <c r="AP43" s="47"/>
      <c r="AQ43" s="39"/>
      <c r="AR43" s="43"/>
      <c r="AS43" s="39"/>
      <c r="AT43" s="39"/>
      <c r="AU43" s="39"/>
      <c r="AV43" s="39"/>
      <c r="AW43" s="43"/>
      <c r="AX43" s="48"/>
      <c r="AY43" s="48"/>
      <c r="AZ43" s="48"/>
      <c r="BA43" s="39"/>
    </row>
    <row r="44" spans="1:53" ht="13.9" customHeight="1">
      <c r="A44" s="297" t="s">
        <v>194</v>
      </c>
      <c r="B44" s="298"/>
      <c r="C44" s="298"/>
      <c r="D44" s="299"/>
      <c r="E44" s="307"/>
      <c r="F44" s="307"/>
      <c r="G44" s="307"/>
      <c r="H44" s="307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43"/>
      <c r="AL44" s="46"/>
      <c r="AM44" s="39"/>
      <c r="AN44" s="47"/>
      <c r="AO44" s="39"/>
      <c r="AP44" s="47"/>
      <c r="AQ44" s="39"/>
      <c r="AR44" s="43"/>
      <c r="AS44" s="39"/>
      <c r="AT44" s="39"/>
      <c r="AU44" s="39"/>
      <c r="AV44" s="39"/>
      <c r="AW44" s="43"/>
      <c r="AX44" s="48"/>
      <c r="AY44" s="48"/>
      <c r="AZ44" s="48"/>
      <c r="BA44" s="39"/>
    </row>
    <row r="45" spans="1:53" ht="13.9" customHeight="1">
      <c r="A45" s="297" t="s">
        <v>189</v>
      </c>
      <c r="B45" s="298"/>
      <c r="C45" s="298"/>
      <c r="D45" s="299"/>
      <c r="E45" s="307"/>
      <c r="F45" s="307"/>
      <c r="G45" s="307"/>
      <c r="H45" s="307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43"/>
      <c r="AL45" s="46"/>
      <c r="AM45" s="39"/>
      <c r="AN45" s="47"/>
      <c r="AO45" s="39"/>
      <c r="AP45" s="47"/>
      <c r="AQ45" s="39"/>
      <c r="AR45" s="43"/>
      <c r="AS45" s="39"/>
      <c r="AT45" s="39"/>
      <c r="AU45" s="39"/>
      <c r="AV45" s="39"/>
      <c r="AW45" s="43"/>
      <c r="AX45" s="48"/>
      <c r="AY45" s="48"/>
      <c r="AZ45" s="48"/>
      <c r="BA45" s="39"/>
    </row>
    <row r="46" spans="1:53" ht="13.9" customHeight="1">
      <c r="A46" s="297" t="s">
        <v>169</v>
      </c>
      <c r="B46" s="298"/>
      <c r="C46" s="298"/>
      <c r="D46" s="299"/>
      <c r="E46" s="307"/>
      <c r="F46" s="307"/>
      <c r="G46" s="307"/>
      <c r="H46" s="307"/>
      <c r="L46" s="41"/>
      <c r="M46" s="41"/>
      <c r="O46" s="39"/>
      <c r="P46" s="45"/>
      <c r="Q46" s="45"/>
      <c r="R46" s="45"/>
      <c r="S46" s="45"/>
      <c r="T46" s="45"/>
      <c r="U46" s="45"/>
      <c r="V46" s="39"/>
      <c r="W46" s="45"/>
      <c r="X46" s="45"/>
      <c r="Y46" s="45"/>
      <c r="Z46" s="45"/>
      <c r="AA46" s="45"/>
      <c r="AB46" s="45"/>
      <c r="AC46" s="39"/>
      <c r="AD46" s="39"/>
      <c r="AE46" s="39"/>
      <c r="AF46" s="39"/>
      <c r="AG46" s="39"/>
      <c r="AH46" s="39"/>
      <c r="AI46" s="39"/>
      <c r="AJ46" s="39"/>
      <c r="AK46" s="43"/>
      <c r="AL46" s="46"/>
      <c r="AM46" s="39"/>
      <c r="AN46" s="47"/>
      <c r="AO46" s="39"/>
      <c r="AP46" s="47"/>
      <c r="AQ46" s="39"/>
      <c r="AR46" s="43"/>
      <c r="AS46" s="39"/>
      <c r="AT46" s="39"/>
      <c r="AU46" s="39"/>
      <c r="AV46" s="39"/>
      <c r="AW46" s="43"/>
      <c r="AX46" s="48"/>
      <c r="AY46" s="48"/>
      <c r="AZ46" s="48"/>
      <c r="BA46" s="39"/>
    </row>
    <row r="47" spans="1:53" ht="13.9" customHeight="1">
      <c r="A47" s="297" t="s">
        <v>195</v>
      </c>
      <c r="B47" s="298"/>
      <c r="C47" s="298"/>
      <c r="D47" s="299"/>
      <c r="E47" s="307"/>
      <c r="F47" s="307"/>
      <c r="G47" s="307"/>
      <c r="H47" s="307"/>
      <c r="N47" s="41"/>
      <c r="O47" s="55"/>
      <c r="P47" s="56"/>
      <c r="Q47" s="56"/>
      <c r="R47" s="56"/>
      <c r="S47" s="56"/>
      <c r="T47" s="56"/>
      <c r="U47" s="56"/>
      <c r="V47" s="39"/>
      <c r="W47" s="56"/>
      <c r="X47" s="56"/>
      <c r="Y47" s="56"/>
      <c r="Z47" s="56"/>
      <c r="AA47" s="56"/>
      <c r="AB47" s="56"/>
      <c r="AC47" s="39"/>
      <c r="AD47" s="39"/>
      <c r="AE47" s="39"/>
      <c r="AF47" s="39"/>
      <c r="AG47" s="39"/>
      <c r="AH47" s="39"/>
      <c r="AI47" s="39"/>
      <c r="AJ47" s="39"/>
      <c r="AK47" s="43"/>
      <c r="AL47" s="46"/>
      <c r="AM47" s="39"/>
      <c r="AN47" s="47"/>
      <c r="AO47" s="39"/>
      <c r="AP47" s="47"/>
      <c r="AQ47" s="39"/>
      <c r="AR47" s="43"/>
      <c r="AS47" s="39"/>
      <c r="AT47" s="39"/>
      <c r="AU47" s="39"/>
      <c r="AV47" s="39"/>
      <c r="AW47" s="43"/>
      <c r="AX47" s="48"/>
      <c r="AY47" s="48"/>
      <c r="AZ47" s="48"/>
      <c r="BA47" s="39"/>
    </row>
    <row r="48" spans="1:53" ht="13.9" customHeight="1">
      <c r="A48" s="297" t="s">
        <v>271</v>
      </c>
      <c r="B48" s="298"/>
      <c r="C48" s="298"/>
      <c r="D48" s="299"/>
      <c r="E48" s="292"/>
      <c r="F48" s="292"/>
      <c r="G48" s="292"/>
      <c r="H48" s="292"/>
      <c r="L48" s="41"/>
      <c r="M48" s="41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  <c r="AS48" s="39"/>
      <c r="AT48" s="39"/>
      <c r="AU48" s="39"/>
      <c r="AV48" s="39"/>
      <c r="AW48" s="43"/>
      <c r="AX48" s="48"/>
      <c r="AY48" s="48"/>
      <c r="AZ48" s="48"/>
      <c r="BA48" s="39"/>
    </row>
    <row r="49" spans="1:53" ht="13.9" customHeight="1">
      <c r="A49" s="297" t="s">
        <v>182</v>
      </c>
      <c r="B49" s="298"/>
      <c r="C49" s="298"/>
      <c r="D49" s="299"/>
      <c r="E49" s="57"/>
      <c r="F49" s="58" t="str">
        <f>IF($O$144=1,"GJ",IF($O$144&lt;=3,"ton (Mg)",IF($O$144=4,"m3",IF($O$144&lt;=6,"mln m3","ton (Mg)"))))</f>
        <v>ton (Mg)</v>
      </c>
      <c r="G49" s="57"/>
      <c r="H49" s="58" t="str">
        <f>IF($Q$144=1,"GJ",IF($Q$144&lt;=3,"ton (Mg)",IF($Q$144=4,"m3",IF($Q$144&lt;=6,"mln m3","ton (Mg)"))))</f>
        <v>ton (Mg)</v>
      </c>
      <c r="I49" s="41"/>
      <c r="J49" s="41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43"/>
      <c r="AS49" s="39"/>
      <c r="AT49" s="39"/>
      <c r="AU49" s="39"/>
      <c r="AV49" s="39"/>
      <c r="AW49" s="43"/>
      <c r="AX49" s="48"/>
      <c r="AY49" s="48"/>
      <c r="AZ49" s="48"/>
      <c r="BA49" s="39"/>
    </row>
    <row r="50" spans="1:53" ht="3" customHeight="1">
      <c r="A50" s="43"/>
      <c r="B50" s="43"/>
      <c r="C50" s="43"/>
      <c r="D50" s="43"/>
      <c r="E50" s="43"/>
      <c r="F50" s="43"/>
      <c r="G50" s="43"/>
      <c r="H50" s="43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43"/>
      <c r="AS50" s="39"/>
      <c r="AT50" s="39"/>
      <c r="AU50" s="39"/>
      <c r="AV50" s="39"/>
      <c r="AW50" s="43"/>
      <c r="AX50" s="48"/>
      <c r="AY50" s="48"/>
      <c r="AZ50" s="48"/>
      <c r="BA50" s="39"/>
    </row>
    <row r="51" spans="1:53" ht="3" customHeight="1">
      <c r="A51" s="43"/>
      <c r="B51" s="43"/>
      <c r="C51" s="43"/>
      <c r="D51" s="43"/>
      <c r="E51" s="261"/>
      <c r="F51" s="261"/>
      <c r="G51" s="261"/>
      <c r="H51" s="261"/>
      <c r="O51" s="39"/>
      <c r="P51" s="42"/>
      <c r="Q51" s="42"/>
      <c r="R51" s="42"/>
      <c r="S51" s="42"/>
      <c r="T51" s="39"/>
      <c r="U51" s="39"/>
      <c r="V51" s="39"/>
      <c r="W51" s="42"/>
      <c r="X51" s="42"/>
      <c r="Y51" s="42"/>
      <c r="Z51" s="42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39"/>
      <c r="AT51" s="39"/>
      <c r="AU51" s="39"/>
      <c r="AV51" s="39"/>
      <c r="AW51" s="43"/>
      <c r="AX51" s="48"/>
      <c r="AY51" s="48"/>
      <c r="AZ51" s="48"/>
      <c r="BA51" s="39"/>
    </row>
    <row r="52" spans="1:53" ht="13.9" customHeight="1">
      <c r="A52" s="264" t="s">
        <v>359</v>
      </c>
      <c r="B52" s="296"/>
      <c r="C52" s="296"/>
      <c r="D52" s="265"/>
      <c r="E52" s="258"/>
      <c r="F52" s="258"/>
      <c r="G52" s="258"/>
      <c r="H52" s="258"/>
      <c r="O52" s="39"/>
      <c r="P52" s="42"/>
      <c r="Q52" s="42"/>
      <c r="R52" s="42"/>
      <c r="S52" s="42"/>
      <c r="T52" s="39"/>
      <c r="U52" s="39"/>
      <c r="V52" s="39"/>
      <c r="W52" s="42"/>
      <c r="X52" s="42"/>
      <c r="Y52" s="42"/>
      <c r="Z52" s="42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43"/>
      <c r="AS52" s="39"/>
      <c r="AT52" s="39"/>
      <c r="AU52" s="39"/>
      <c r="AV52" s="39"/>
      <c r="AW52" s="43"/>
      <c r="AX52" s="48"/>
      <c r="AY52" s="48"/>
      <c r="AZ52" s="48"/>
      <c r="BA52" s="39"/>
    </row>
    <row r="53" spans="1:53" ht="13.9" customHeight="1">
      <c r="A53" s="264" t="s">
        <v>276</v>
      </c>
      <c r="B53" s="296"/>
      <c r="C53" s="296"/>
      <c r="D53" s="265"/>
      <c r="E53" s="258"/>
      <c r="F53" s="258"/>
      <c r="G53" s="258"/>
      <c r="H53" s="258"/>
      <c r="O53" s="39"/>
      <c r="P53" s="39"/>
      <c r="Q53" s="39"/>
      <c r="R53" s="39"/>
      <c r="S53" s="39"/>
      <c r="T53" s="59"/>
      <c r="U53" s="39"/>
      <c r="V53" s="39"/>
      <c r="W53" s="39"/>
      <c r="X53" s="39"/>
      <c r="Y53" s="39"/>
      <c r="Z53" s="39"/>
      <c r="AA53" s="5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39"/>
      <c r="AT53" s="39"/>
      <c r="AU53" s="39"/>
      <c r="AV53" s="39"/>
      <c r="AW53" s="43"/>
      <c r="AX53" s="48"/>
      <c r="AY53" s="48"/>
      <c r="AZ53" s="48"/>
      <c r="BA53" s="39"/>
    </row>
    <row r="54" spans="1:53" ht="13.9" customHeight="1">
      <c r="A54" s="264" t="s">
        <v>172</v>
      </c>
      <c r="B54" s="296"/>
      <c r="C54" s="296"/>
      <c r="D54" s="265"/>
      <c r="E54" s="258"/>
      <c r="F54" s="258"/>
      <c r="G54" s="258"/>
      <c r="H54" s="258"/>
      <c r="O54" s="39"/>
      <c r="P54" s="39"/>
      <c r="Q54" s="39"/>
      <c r="R54" s="39"/>
      <c r="S54" s="39"/>
      <c r="T54" s="59"/>
      <c r="U54" s="39"/>
      <c r="V54" s="39"/>
      <c r="W54" s="39"/>
      <c r="X54" s="39"/>
      <c r="Y54" s="39"/>
      <c r="Z54" s="39"/>
      <c r="AA54" s="5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43"/>
      <c r="AS54" s="39"/>
      <c r="AT54" s="39"/>
      <c r="AU54" s="39"/>
      <c r="AV54" s="39"/>
      <c r="AW54" s="43"/>
      <c r="AX54" s="48"/>
      <c r="AY54" s="48"/>
      <c r="AZ54" s="48"/>
      <c r="BA54" s="39"/>
    </row>
    <row r="55" spans="1:53" ht="5.25" customHeight="1">
      <c r="A55" s="43"/>
      <c r="B55" s="43"/>
      <c r="C55" s="43"/>
      <c r="D55" s="43"/>
      <c r="E55" s="43"/>
      <c r="F55" s="43"/>
      <c r="G55" s="43"/>
      <c r="H55" s="43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43"/>
      <c r="AS55" s="39"/>
      <c r="AT55" s="39"/>
      <c r="AU55" s="39"/>
      <c r="AV55" s="39"/>
      <c r="AW55" s="43"/>
      <c r="AX55" s="48"/>
      <c r="AY55" s="48"/>
      <c r="AZ55" s="48"/>
      <c r="BA55" s="39"/>
    </row>
    <row r="56" spans="1:53" ht="18.75">
      <c r="A56" s="52" t="s">
        <v>378</v>
      </c>
      <c r="O56" s="39"/>
      <c r="P56" s="39"/>
      <c r="Q56" s="39"/>
      <c r="R56" s="39"/>
      <c r="S56" s="39"/>
      <c r="T56" s="59"/>
      <c r="U56" s="39"/>
      <c r="V56" s="39"/>
      <c r="W56" s="39"/>
      <c r="X56" s="39"/>
      <c r="Y56" s="39"/>
      <c r="Z56" s="39"/>
      <c r="AA56" s="5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43"/>
      <c r="AS56" s="39"/>
      <c r="AT56" s="39"/>
      <c r="AU56" s="39"/>
      <c r="AV56" s="39"/>
      <c r="AW56" s="43"/>
      <c r="AX56" s="48"/>
      <c r="AY56" s="48"/>
      <c r="AZ56" s="48"/>
      <c r="BA56" s="39"/>
    </row>
    <row r="57" spans="1:53" ht="1.5" customHeight="1"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43"/>
      <c r="AS57" s="39"/>
      <c r="AT57" s="39"/>
      <c r="AU57" s="39"/>
      <c r="AV57" s="39"/>
      <c r="AW57" s="43"/>
      <c r="AX57" s="48"/>
      <c r="AY57" s="48"/>
      <c r="AZ57" s="48"/>
      <c r="BA57" s="39"/>
    </row>
    <row r="58" spans="1:53">
      <c r="A58" s="323" t="s">
        <v>109</v>
      </c>
      <c r="B58" s="324"/>
      <c r="C58" s="324"/>
      <c r="D58" s="325"/>
      <c r="E58" s="253" t="s">
        <v>110</v>
      </c>
      <c r="F58" s="253"/>
      <c r="G58" s="253" t="s">
        <v>111</v>
      </c>
      <c r="H58" s="253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43"/>
      <c r="AS58" s="39"/>
      <c r="AT58" s="39"/>
      <c r="AU58" s="39"/>
      <c r="AV58" s="39"/>
      <c r="AW58" s="43"/>
      <c r="AX58" s="48"/>
      <c r="AY58" s="48"/>
      <c r="AZ58" s="48"/>
      <c r="BA58" s="39"/>
    </row>
    <row r="59" spans="1:53" ht="26.25">
      <c r="A59" s="326"/>
      <c r="B59" s="327"/>
      <c r="C59" s="327"/>
      <c r="D59" s="328"/>
      <c r="E59" s="178" t="s">
        <v>115</v>
      </c>
      <c r="F59" s="179" t="s">
        <v>112</v>
      </c>
      <c r="G59" s="54" t="s">
        <v>113</v>
      </c>
      <c r="H59" s="54" t="s">
        <v>114</v>
      </c>
      <c r="O59" s="39"/>
      <c r="P59" s="39"/>
      <c r="Q59" s="39"/>
      <c r="R59" s="39"/>
      <c r="S59" s="61"/>
      <c r="T59" s="61"/>
      <c r="U59" s="45"/>
      <c r="V59" s="39"/>
      <c r="W59" s="39"/>
      <c r="X59" s="39"/>
      <c r="Y59" s="39"/>
      <c r="Z59" s="61"/>
      <c r="AB59" s="45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43"/>
      <c r="AS59" s="39"/>
      <c r="AT59" s="39"/>
      <c r="AU59" s="39"/>
      <c r="AV59" s="39"/>
      <c r="AW59" s="43"/>
      <c r="AX59" s="48"/>
      <c r="AY59" s="48"/>
      <c r="AZ59" s="48"/>
      <c r="BA59" s="39"/>
    </row>
    <row r="60" spans="1:53" ht="15">
      <c r="A60" s="274">
        <v>1</v>
      </c>
      <c r="B60" s="335"/>
      <c r="C60" s="335"/>
      <c r="D60" s="275"/>
      <c r="E60" s="54">
        <v>2</v>
      </c>
      <c r="F60" s="54">
        <v>3</v>
      </c>
      <c r="G60" s="54">
        <v>4</v>
      </c>
      <c r="H60" s="54">
        <v>5</v>
      </c>
      <c r="O60" s="39"/>
      <c r="P60" s="39"/>
      <c r="Q60" s="39"/>
      <c r="R60" s="39"/>
      <c r="S60" s="39"/>
      <c r="T60" s="62"/>
      <c r="U60" s="45"/>
      <c r="V60" s="39"/>
      <c r="W60" s="39"/>
      <c r="X60" s="39"/>
      <c r="Y60" s="39"/>
      <c r="Z60" s="39"/>
      <c r="AA60" s="45"/>
      <c r="AB60" s="45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43"/>
      <c r="AS60" s="39"/>
      <c r="AT60" s="39"/>
      <c r="AU60" s="39"/>
      <c r="AV60" s="39"/>
      <c r="AW60" s="43"/>
      <c r="AX60" s="48"/>
      <c r="AY60" s="48"/>
      <c r="AZ60" s="48"/>
      <c r="BA60" s="39"/>
    </row>
    <row r="61" spans="1:53" ht="13.9" customHeight="1">
      <c r="A61" s="297" t="s">
        <v>361</v>
      </c>
      <c r="B61" s="298"/>
      <c r="C61" s="298"/>
      <c r="D61" s="299"/>
      <c r="E61" s="63">
        <f>IF($O$161&lt;301001,$E$49*$E$52*$O$180*(100-$F$174)/100,IF($O$161&lt;=301003,"Nie oblicza się",IF($O$161&lt;701001,$E$49*$E$52*$O$180*(100-$F$174)/100,$E$49*$O$180*(100-$F$174)/100)))</f>
        <v>0</v>
      </c>
      <c r="F61" s="63">
        <f>IF($Q$161&lt;301001,$G$49*$G$52*$Q$180*(100-$K$174)/100,IF($Q$161&lt;=301003,"Nie oblicza się",IF($Q$161&lt;701001,$G$49*$G$52*$Q$180*(100-$K$174)/100,$G$49*$Q$180*(100-$K$174)/100)))</f>
        <v>0</v>
      </c>
      <c r="G61" s="63">
        <f>IF(E61-F61&gt;0,E61-F61,0)</f>
        <v>0</v>
      </c>
      <c r="H61" s="64">
        <f>IF(E61=0,0,(G61/E61)*100)</f>
        <v>0</v>
      </c>
      <c r="O61" s="39"/>
      <c r="P61" s="65"/>
      <c r="Q61" s="39"/>
      <c r="R61" s="39"/>
      <c r="S61" s="39"/>
      <c r="T61" s="39"/>
      <c r="U61" s="39"/>
      <c r="V61" s="39"/>
      <c r="W61" s="65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43"/>
      <c r="AS61" s="39"/>
      <c r="AT61" s="39"/>
      <c r="AU61" s="39"/>
      <c r="AV61" s="39"/>
      <c r="AW61" s="43"/>
      <c r="AX61" s="48"/>
      <c r="AY61" s="48"/>
      <c r="AZ61" s="48"/>
      <c r="BA61" s="39"/>
    </row>
    <row r="62" spans="1:53" ht="13.9" customHeight="1">
      <c r="A62" s="297" t="s">
        <v>362</v>
      </c>
      <c r="B62" s="298"/>
      <c r="C62" s="298"/>
      <c r="D62" s="299"/>
      <c r="E62" s="63">
        <f>IF($O$161&lt;301001,$E$49*$O$181*(100-$F$175)/100,IF($O$161&lt;=301003,"Nie oblicza się",$E$49*$O$181*(100-$F$175)/100))</f>
        <v>0</v>
      </c>
      <c r="F62" s="63">
        <f>IF($Q$161&lt;301001,$G$49*$Q$181*(100-$K$175)/100,IF($Q$161&lt;=301003,"Nie oblicza się",$G$49*$Q$181*(100-$K$175)/100))</f>
        <v>0</v>
      </c>
      <c r="G62" s="63">
        <f t="shared" ref="G62:G64" si="0">IF(E62-F62&gt;0,E62-F62,0)</f>
        <v>0</v>
      </c>
      <c r="H62" s="64">
        <f t="shared" ref="H62:H64" si="1">IF(E62=0,0,(G62/E62)*100)</f>
        <v>0</v>
      </c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43"/>
      <c r="AX62" s="48"/>
      <c r="AY62" s="48"/>
      <c r="AZ62" s="48"/>
      <c r="BA62" s="39"/>
    </row>
    <row r="63" spans="1:53" ht="13.9" customHeight="1">
      <c r="A63" s="297" t="s">
        <v>40</v>
      </c>
      <c r="B63" s="298"/>
      <c r="C63" s="298"/>
      <c r="D63" s="299"/>
      <c r="E63" s="63">
        <f>IF($O$161&lt;301001,$E$49*$O$183*(100-$F$176)/100,IF($O$161&lt;=301003,"Nie oblicza się",$E$49*$O$183*(100-$F$176)/100))</f>
        <v>0</v>
      </c>
      <c r="F63" s="63">
        <f>IF($Q$161&lt;301001,$G$49*$Q$183*(100-$K$176)/100,IF($Q$161&lt;=301003,"Nie oblicza się",$G$49*$Q$183*(100-$K$176)/100))</f>
        <v>0</v>
      </c>
      <c r="G63" s="63">
        <f t="shared" si="0"/>
        <v>0</v>
      </c>
      <c r="H63" s="64">
        <f t="shared" si="1"/>
        <v>0</v>
      </c>
      <c r="L63" s="66"/>
      <c r="O63" s="39"/>
      <c r="P63" s="39"/>
      <c r="Q63" s="67"/>
      <c r="R63" s="68"/>
      <c r="S63" s="68"/>
      <c r="T63" s="69"/>
      <c r="U63" s="39"/>
      <c r="V63" s="39"/>
      <c r="W63" s="39"/>
      <c r="X63" s="67"/>
      <c r="Y63" s="68"/>
      <c r="Z63" s="68"/>
      <c r="AA63" s="6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43"/>
      <c r="AX63" s="48"/>
      <c r="AY63" s="48"/>
      <c r="AZ63" s="48"/>
      <c r="BA63" s="39"/>
    </row>
    <row r="64" spans="1:53" ht="13.9" customHeight="1">
      <c r="A64" s="221" t="s">
        <v>41</v>
      </c>
      <c r="B64" s="322"/>
      <c r="C64" s="322"/>
      <c r="D64" s="222"/>
      <c r="E64" s="63">
        <f>IF($O$161&lt;301001,$E$49*$O$184*$E$53*(100-$E$48)/(100-$E$54),IF($O$161&lt;=301003,"Nie oblicza się",IF($O$161&lt;=302221,$E$49*$O$184*$E$53*(100-$E$48)/(100-$E$54),IF($O$161&lt;=701001,$E$49*$O$184*(100-$E$48)/(100-$E$54),$E$49*$O$184*$E$53*(100-$E$48)/(100-$E$54)))))</f>
        <v>0</v>
      </c>
      <c r="F64" s="63">
        <f>IF($Q$161&lt;301001,$G$49*$Q$184*$G$53*(100-$G$48)/(100-$G$54),IF($Q$161&lt;=301003,"Nie oblicza się",IF($Q$161&lt;=302221,$G$49*$Q$184*$G$53*(100-$G$48)/(100-$G$54),IF($Q$161&lt;=701001,$G$49*$Q$184*(100-$G$48)/(100-$G$54),$G$49*$Q$184*$G$53*(100-$G$48)/(100-$G$54)))))</f>
        <v>0</v>
      </c>
      <c r="G64" s="63">
        <f t="shared" si="0"/>
        <v>0</v>
      </c>
      <c r="H64" s="64">
        <f t="shared" si="1"/>
        <v>0</v>
      </c>
      <c r="O64" s="39"/>
      <c r="P64" s="70"/>
      <c r="Q64" s="71"/>
      <c r="R64" s="71"/>
      <c r="S64" s="71"/>
      <c r="T64" s="71"/>
      <c r="U64" s="71"/>
      <c r="V64" s="39"/>
      <c r="W64" s="70"/>
      <c r="X64" s="71"/>
      <c r="Y64" s="71"/>
      <c r="Z64" s="71"/>
      <c r="AA64" s="71"/>
      <c r="AB64" s="71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43"/>
      <c r="AX64" s="48"/>
      <c r="AY64" s="48"/>
      <c r="AZ64" s="48"/>
      <c r="BA64" s="39"/>
    </row>
    <row r="65" spans="1:53" ht="3.75" customHeight="1">
      <c r="O65" s="39"/>
      <c r="P65" s="39"/>
      <c r="Q65" s="65"/>
      <c r="R65" s="65"/>
      <c r="S65" s="65"/>
      <c r="T65" s="65"/>
      <c r="U65" s="65"/>
      <c r="V65" s="72"/>
      <c r="W65" s="72"/>
      <c r="X65" s="67"/>
      <c r="AA65" s="6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43"/>
      <c r="AX65" s="48"/>
      <c r="AY65" s="48"/>
      <c r="AZ65" s="48"/>
      <c r="BA65" s="39"/>
    </row>
    <row r="66" spans="1:53" ht="19.5">
      <c r="A66" s="52" t="s">
        <v>379</v>
      </c>
      <c r="O66" s="39"/>
      <c r="P66" s="39"/>
      <c r="Q66" s="39"/>
      <c r="R66" s="69"/>
      <c r="S66" s="69"/>
      <c r="T66" s="69"/>
      <c r="U66" s="69"/>
      <c r="V66" s="39"/>
      <c r="W66" s="39"/>
      <c r="X66" s="39"/>
      <c r="Y66" s="67"/>
      <c r="Z66" s="68"/>
      <c r="AA66" s="6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43"/>
      <c r="AX66" s="48"/>
      <c r="AY66" s="48"/>
      <c r="AZ66" s="48"/>
      <c r="BA66" s="39"/>
    </row>
    <row r="67" spans="1:53" ht="2.25" customHeight="1"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43"/>
      <c r="AX67" s="48"/>
      <c r="AY67" s="48"/>
      <c r="AZ67" s="48"/>
      <c r="BA67" s="39"/>
    </row>
    <row r="68" spans="1:53">
      <c r="A68" s="319" t="s">
        <v>167</v>
      </c>
      <c r="B68" s="320"/>
      <c r="C68" s="320"/>
      <c r="D68" s="321"/>
      <c r="E68" s="253" t="s">
        <v>168</v>
      </c>
      <c r="F68" s="253"/>
      <c r="G68" s="253" t="s">
        <v>112</v>
      </c>
      <c r="H68" s="253"/>
      <c r="O68" s="39"/>
      <c r="P68" s="73"/>
      <c r="Q68" s="74"/>
      <c r="R68" s="74"/>
      <c r="S68" s="74"/>
      <c r="T68" s="74"/>
      <c r="U68" s="74"/>
      <c r="W68" s="73"/>
      <c r="X68" s="74"/>
      <c r="Y68" s="74"/>
      <c r="Z68" s="74"/>
      <c r="AA68" s="74"/>
      <c r="AB68" s="74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43"/>
      <c r="AX68" s="48"/>
      <c r="AY68" s="48"/>
      <c r="AZ68" s="48"/>
      <c r="BA68" s="39"/>
    </row>
    <row r="69" spans="1:53" ht="24.95" customHeight="1">
      <c r="A69" s="264" t="s">
        <v>171</v>
      </c>
      <c r="B69" s="296"/>
      <c r="C69" s="296"/>
      <c r="D69" s="265"/>
      <c r="E69" s="317"/>
      <c r="F69" s="318"/>
      <c r="G69" s="317"/>
      <c r="H69" s="317"/>
      <c r="O69" s="39"/>
      <c r="P69" s="74"/>
      <c r="Q69" s="74"/>
      <c r="R69" s="74"/>
      <c r="S69" s="74"/>
      <c r="T69" s="74"/>
      <c r="U69" s="74"/>
      <c r="W69" s="74"/>
      <c r="X69" s="74"/>
      <c r="Y69" s="74"/>
      <c r="Z69" s="74"/>
      <c r="AA69" s="74"/>
      <c r="AB69" s="74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43"/>
      <c r="AX69" s="48"/>
      <c r="AY69" s="48"/>
      <c r="AZ69" s="48"/>
      <c r="BA69" s="39"/>
    </row>
    <row r="70" spans="1:53" ht="24.95" customHeight="1">
      <c r="A70" s="264" t="s">
        <v>192</v>
      </c>
      <c r="B70" s="296"/>
      <c r="C70" s="296"/>
      <c r="D70" s="265"/>
      <c r="E70" s="314"/>
      <c r="F70" s="315"/>
      <c r="G70" s="273"/>
      <c r="H70" s="316"/>
      <c r="O70" s="39"/>
      <c r="P70" s="74"/>
      <c r="Q70" s="74"/>
      <c r="R70" s="74"/>
      <c r="S70" s="74"/>
      <c r="T70" s="74"/>
      <c r="U70" s="74"/>
      <c r="W70" s="74"/>
      <c r="X70" s="74"/>
      <c r="Y70" s="74"/>
      <c r="Z70" s="74"/>
      <c r="AA70" s="74"/>
      <c r="AB70" s="74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43"/>
      <c r="AX70" s="48"/>
      <c r="AY70" s="48"/>
      <c r="AZ70" s="48"/>
      <c r="BA70" s="39"/>
    </row>
    <row r="71" spans="1:53" ht="13.9" customHeight="1">
      <c r="A71" s="221" t="s">
        <v>287</v>
      </c>
      <c r="B71" s="322"/>
      <c r="C71" s="322"/>
      <c r="D71" s="222"/>
      <c r="E71" s="75" t="e">
        <f>IF(F71=W230,VLOOKUP(J252,KOBIZE!T7:X57,3),IF(F71=X230,VLOOKUP(J252,KOBIZE!T7:X57,4),"N/d"))</f>
        <v>#N/A</v>
      </c>
      <c r="F71" s="76" t="str">
        <f>IF(E70=Q238,X230,IF(E70=Q239,X230,IF(E70=Q240,X230,IF(E70=Q260,X230,IF(E70=Q261,X230,IF(E70=J231,"N/d",W230))))))</f>
        <v>MJ/kg</v>
      </c>
      <c r="G71" s="77" t="e">
        <f>IF(H71=W230,VLOOKUP(L252,KOBIZE!T7:X57,3),IF(H71=X230,VLOOKUP(L252,KOBIZE!T7:X57,4),"N/d"))</f>
        <v>#N/A</v>
      </c>
      <c r="H71" s="78" t="str">
        <f>IF(G70=Q238,X230,IF(G70=Q239,X230,IF(G70=Q240,X230,IF(G70=Q260,X230,IF(G70=Q261,X230,IF(G70=J231,"N/d",W230))))))</f>
        <v>MJ/kg</v>
      </c>
      <c r="O71" s="39"/>
      <c r="P71" s="74"/>
      <c r="Q71" s="74"/>
      <c r="R71" s="74"/>
      <c r="S71" s="74"/>
      <c r="T71" s="74"/>
      <c r="U71" s="74"/>
      <c r="W71" s="74"/>
      <c r="X71" s="74"/>
      <c r="Y71" s="74"/>
      <c r="Z71" s="74"/>
      <c r="AA71" s="74"/>
      <c r="AB71" s="74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43"/>
      <c r="AX71" s="48"/>
      <c r="AY71" s="48"/>
      <c r="AZ71" s="48"/>
      <c r="BA71" s="39"/>
    </row>
    <row r="72" spans="1:53" ht="13.9" customHeight="1">
      <c r="A72" s="221" t="s">
        <v>170</v>
      </c>
      <c r="B72" s="322"/>
      <c r="C72" s="322"/>
      <c r="D72" s="222"/>
      <c r="E72" s="79">
        <f>IF(E70=J231,"N/d",IF(F49="mln m3",E49*10^6,IF(F49="m3",E49*G232,IF(F49="ton (Mg)",E49*1000))))</f>
        <v>0</v>
      </c>
      <c r="F72" s="80" t="str">
        <f>IF(F71=W230,"kg/rok",IF(F71=X230,"m3/rok","N/d"))</f>
        <v>kg/rok</v>
      </c>
      <c r="G72" s="79">
        <f>IF(G70=K231,"N/d",IF(H49="mln m3",G49*10^6,IF(H49="m3",G49*G232,IF(H49="ton (Mg)",G49*1000))))</f>
        <v>0</v>
      </c>
      <c r="H72" s="78" t="str">
        <f>IF(H71=W230,"kg/rok",IF(H71=X230,"m3/rok","N/d"))</f>
        <v>kg/rok</v>
      </c>
      <c r="O72" s="39"/>
      <c r="P72" s="74"/>
      <c r="Q72" s="74"/>
      <c r="R72" s="74"/>
      <c r="S72" s="74"/>
      <c r="T72" s="74"/>
      <c r="U72" s="74"/>
      <c r="V72" s="39"/>
      <c r="W72" s="74"/>
      <c r="X72" s="74"/>
      <c r="Y72" s="74"/>
      <c r="Z72" s="74"/>
      <c r="AA72" s="74"/>
      <c r="AB72" s="74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43"/>
      <c r="AX72" s="48"/>
      <c r="AY72" s="48"/>
      <c r="AZ72" s="48"/>
      <c r="BA72" s="39"/>
    </row>
    <row r="73" spans="1:53" ht="13.9" customHeight="1">
      <c r="A73" s="221" t="s">
        <v>197</v>
      </c>
      <c r="B73" s="322"/>
      <c r="C73" s="322"/>
      <c r="D73" s="222"/>
      <c r="E73" s="283" t="e">
        <f>IF(E71&lt;&gt;"N/d",((E71*E72)/1000),"N/d")</f>
        <v>#N/A</v>
      </c>
      <c r="F73" s="284"/>
      <c r="G73" s="285" t="e">
        <f>IF(G71&lt;&gt;"N/d",((G71*G72)/1000),"N/d")</f>
        <v>#N/A</v>
      </c>
      <c r="H73" s="286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43"/>
      <c r="AX73" s="48"/>
      <c r="AY73" s="48"/>
      <c r="AZ73" s="48"/>
      <c r="BA73" s="39"/>
    </row>
    <row r="74" spans="1:53" ht="13.9" customHeight="1">
      <c r="A74" s="221" t="s">
        <v>198</v>
      </c>
      <c r="B74" s="322"/>
      <c r="C74" s="322"/>
      <c r="D74" s="222"/>
      <c r="E74" s="289" t="e">
        <f>IF(E71&lt;&gt;"N/d",VLOOKUP(J252,KOBIZE!T7:X57,5),"N/d")</f>
        <v>#N/A</v>
      </c>
      <c r="F74" s="253"/>
      <c r="G74" s="289" t="e">
        <f>IF(G71&lt;&gt;"N/d",VLOOKUP(L252,KOBIZE!T7:X57,5),"N/d")</f>
        <v>#N/A</v>
      </c>
      <c r="H74" s="253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43"/>
      <c r="AX74" s="48"/>
      <c r="AY74" s="48"/>
      <c r="AZ74" s="48"/>
      <c r="BA74" s="39"/>
    </row>
    <row r="75" spans="1:53" ht="3.75" customHeight="1"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43"/>
      <c r="AX75" s="48"/>
      <c r="AY75" s="48"/>
      <c r="AZ75" s="48"/>
      <c r="BA75" s="39"/>
    </row>
    <row r="76" spans="1:53">
      <c r="A76" s="323" t="s">
        <v>109</v>
      </c>
      <c r="B76" s="324"/>
      <c r="C76" s="324"/>
      <c r="D76" s="325"/>
      <c r="E76" s="253" t="s">
        <v>110</v>
      </c>
      <c r="F76" s="253"/>
      <c r="G76" s="253" t="s">
        <v>111</v>
      </c>
      <c r="H76" s="253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66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43"/>
      <c r="AX76" s="48"/>
      <c r="AY76" s="48"/>
      <c r="AZ76" s="48"/>
      <c r="BA76" s="39"/>
    </row>
    <row r="77" spans="1:53">
      <c r="A77" s="326"/>
      <c r="B77" s="327"/>
      <c r="C77" s="327"/>
      <c r="D77" s="328"/>
      <c r="E77" s="54" t="s">
        <v>115</v>
      </c>
      <c r="F77" s="54" t="s">
        <v>112</v>
      </c>
      <c r="G77" s="54" t="s">
        <v>113</v>
      </c>
      <c r="H77" s="54" t="s">
        <v>114</v>
      </c>
      <c r="M77" s="82"/>
      <c r="O77" s="83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66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43"/>
      <c r="AX77" s="48"/>
      <c r="AY77" s="48"/>
      <c r="AZ77" s="48"/>
      <c r="BA77" s="39"/>
    </row>
    <row r="78" spans="1:53">
      <c r="A78" s="329">
        <v>1</v>
      </c>
      <c r="B78" s="330"/>
      <c r="C78" s="330"/>
      <c r="D78" s="331"/>
      <c r="E78" s="54">
        <v>2</v>
      </c>
      <c r="F78" s="54">
        <v>3</v>
      </c>
      <c r="G78" s="54">
        <v>4</v>
      </c>
      <c r="H78" s="54">
        <v>5</v>
      </c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43"/>
      <c r="AX78" s="48"/>
      <c r="AY78" s="48"/>
      <c r="AZ78" s="48"/>
      <c r="BA78" s="39"/>
    </row>
    <row r="79" spans="1:53" ht="14.25" customHeight="1">
      <c r="A79" s="264" t="s">
        <v>380</v>
      </c>
      <c r="B79" s="296"/>
      <c r="C79" s="296"/>
      <c r="D79" s="265"/>
      <c r="E79" s="84" t="e">
        <f>IF(E73&lt;&gt;"N/d",E73*E74,"N/d")</f>
        <v>#N/A</v>
      </c>
      <c r="F79" s="84" t="e">
        <f>IF(G73&lt;&gt;"N/d",G73*G74,"0")</f>
        <v>#N/A</v>
      </c>
      <c r="G79" s="85" t="e">
        <f>IF(E79&lt;&gt;"N/d",E79-F79,"N/d")</f>
        <v>#N/A</v>
      </c>
      <c r="H79" s="81" t="e">
        <f>IF(E79&lt;&gt;"N/d",(G79/E79)*100,"N/d")</f>
        <v>#N/A</v>
      </c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</row>
    <row r="80" spans="1:53"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</row>
    <row r="81" spans="1:53"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</row>
    <row r="82" spans="1:53"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</row>
    <row r="83" spans="1:53"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</row>
    <row r="84" spans="1:53" ht="34.5" customHeight="1">
      <c r="F84" s="280" t="s">
        <v>398</v>
      </c>
      <c r="G84" s="280"/>
      <c r="H84" s="280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</row>
    <row r="85" spans="1:53" ht="15">
      <c r="A85" s="43"/>
      <c r="B85" s="86">
        <f ca="1">TODAY()</f>
        <v>44937</v>
      </c>
      <c r="C85" s="86"/>
      <c r="D85" s="86"/>
      <c r="E85" s="43"/>
      <c r="F85" s="278" t="s">
        <v>333</v>
      </c>
      <c r="G85" s="278"/>
      <c r="H85" s="278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</row>
    <row r="86" spans="1:53">
      <c r="B86" s="87" t="s">
        <v>180</v>
      </c>
      <c r="C86" s="87"/>
      <c r="D86" s="87"/>
      <c r="F86" s="279"/>
      <c r="G86" s="279"/>
      <c r="H86" s="279"/>
      <c r="K86" s="66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</row>
    <row r="87" spans="1:53" ht="60" customHeight="1">
      <c r="A87" s="276" t="s">
        <v>397</v>
      </c>
      <c r="B87" s="290"/>
      <c r="C87" s="290"/>
      <c r="D87" s="290"/>
      <c r="E87" s="290"/>
      <c r="F87" s="290"/>
      <c r="G87" s="290"/>
      <c r="H87" s="290"/>
      <c r="O87" s="89"/>
    </row>
    <row r="91" spans="1:53">
      <c r="K91" s="66"/>
    </row>
    <row r="94" spans="1:53">
      <c r="A94" s="51"/>
    </row>
    <row r="95" spans="1:53">
      <c r="A95" s="51"/>
      <c r="B95" s="43"/>
      <c r="C95" s="43"/>
      <c r="D95" s="43"/>
      <c r="E95" s="43"/>
      <c r="F95" s="43"/>
      <c r="G95" s="43"/>
      <c r="H95" s="43"/>
    </row>
    <row r="96" spans="1:53">
      <c r="A96" s="51"/>
      <c r="B96" s="43"/>
      <c r="C96" s="43"/>
      <c r="D96" s="43"/>
      <c r="F96" s="43"/>
      <c r="G96" s="43"/>
      <c r="H96" s="43"/>
    </row>
    <row r="97" spans="1:8">
      <c r="A97" s="51"/>
      <c r="B97" s="43"/>
      <c r="C97" s="43"/>
      <c r="D97" s="43"/>
      <c r="E97" s="43"/>
      <c r="F97" s="43"/>
      <c r="G97" s="43"/>
      <c r="H97" s="43"/>
    </row>
    <row r="98" spans="1:8" hidden="1">
      <c r="A98" s="51"/>
      <c r="B98" s="43"/>
      <c r="C98" s="43"/>
      <c r="D98" s="43"/>
      <c r="E98" s="43"/>
      <c r="F98" s="43"/>
      <c r="G98" s="43"/>
      <c r="H98" s="43"/>
    </row>
    <row r="99" spans="1:8" hidden="1">
      <c r="A99" s="51"/>
      <c r="H99" s="43"/>
    </row>
    <row r="100" spans="1:8" hidden="1">
      <c r="A100" s="51"/>
      <c r="B100" s="43"/>
      <c r="C100" s="43"/>
      <c r="D100" s="43"/>
      <c r="E100" s="43"/>
      <c r="F100" s="43"/>
      <c r="G100" s="43"/>
      <c r="H100" s="43"/>
    </row>
    <row r="101" spans="1:8" hidden="1">
      <c r="A101" s="51"/>
      <c r="B101" s="43"/>
      <c r="C101" s="43"/>
      <c r="D101" s="43"/>
      <c r="E101" s="43"/>
      <c r="F101" s="43"/>
      <c r="G101" s="43"/>
      <c r="H101" s="43"/>
    </row>
    <row r="102" spans="1:8" hidden="1">
      <c r="A102" s="51"/>
      <c r="B102" s="43"/>
      <c r="C102" s="43"/>
      <c r="D102" s="43"/>
      <c r="E102" s="43"/>
      <c r="F102" s="43"/>
      <c r="G102" s="43"/>
      <c r="H102" s="43"/>
    </row>
    <row r="103" spans="1:8" hidden="1">
      <c r="A103" s="51"/>
      <c r="B103" s="43"/>
      <c r="C103" s="43"/>
      <c r="D103" s="43"/>
      <c r="E103" s="43"/>
      <c r="F103" s="43"/>
      <c r="G103" s="43"/>
      <c r="H103" s="43"/>
    </row>
    <row r="104" spans="1:8" hidden="1">
      <c r="A104" s="51"/>
      <c r="B104" s="43"/>
      <c r="C104" s="43"/>
      <c r="D104" s="43"/>
      <c r="E104" s="43"/>
      <c r="F104" s="43"/>
      <c r="G104" s="43"/>
      <c r="H104" s="43"/>
    </row>
    <row r="105" spans="1:8" hidden="1">
      <c r="A105" s="51"/>
      <c r="B105" s="43"/>
      <c r="C105" s="43"/>
      <c r="D105" s="43"/>
      <c r="E105" s="43"/>
      <c r="F105" s="43"/>
      <c r="G105" s="43"/>
      <c r="H105" s="43"/>
    </row>
    <row r="106" spans="1:8" hidden="1">
      <c r="A106" s="51"/>
      <c r="B106" s="43"/>
      <c r="C106" s="43"/>
      <c r="D106" s="43"/>
      <c r="E106" s="43"/>
      <c r="F106" s="43"/>
      <c r="G106" s="43"/>
      <c r="H106" s="43"/>
    </row>
    <row r="107" spans="1:8" hidden="1">
      <c r="A107" s="51"/>
      <c r="B107" s="43"/>
      <c r="C107" s="43"/>
      <c r="D107" s="43"/>
      <c r="E107" s="43"/>
      <c r="F107" s="43"/>
      <c r="G107" s="43"/>
      <c r="H107" s="43"/>
    </row>
    <row r="108" spans="1:8" hidden="1">
      <c r="A108" s="51"/>
      <c r="B108" s="43"/>
      <c r="C108" s="43"/>
      <c r="D108" s="43"/>
      <c r="E108" s="43"/>
      <c r="F108" s="43"/>
      <c r="G108" s="43"/>
      <c r="H108" s="43"/>
    </row>
    <row r="109" spans="1:8" hidden="1">
      <c r="A109" s="43"/>
      <c r="B109" s="43"/>
      <c r="C109" s="43"/>
      <c r="D109" s="43"/>
      <c r="E109" s="43"/>
      <c r="F109" s="43"/>
      <c r="G109" s="43"/>
      <c r="H109" s="43"/>
    </row>
    <row r="110" spans="1:8" hidden="1"/>
    <row r="111" spans="1:8" hidden="1"/>
    <row r="112" spans="1:8" hidden="1"/>
    <row r="113" spans="1:8" hidden="1">
      <c r="F113" s="51"/>
      <c r="G113" s="51"/>
      <c r="H113" s="51"/>
    </row>
    <row r="114" spans="1:8" ht="15" hidden="1">
      <c r="A114" s="250"/>
      <c r="B114" s="250"/>
      <c r="C114" s="37"/>
      <c r="D114" s="37"/>
      <c r="E114" s="90"/>
    </row>
    <row r="115" spans="1:8" hidden="1">
      <c r="A115" s="251"/>
      <c r="B115" s="251"/>
      <c r="C115" s="87"/>
      <c r="D115" s="87"/>
      <c r="E115" s="88"/>
      <c r="G115" s="51"/>
      <c r="H115" s="51"/>
    </row>
    <row r="116" spans="1:8" hidden="1">
      <c r="A116" s="43"/>
      <c r="B116" s="51"/>
      <c r="C116" s="51"/>
      <c r="D116" s="51"/>
      <c r="E116" s="51"/>
      <c r="F116" s="51"/>
      <c r="G116" s="51"/>
      <c r="H116" s="51"/>
    </row>
    <row r="117" spans="1:8" hidden="1"/>
    <row r="118" spans="1:8" hidden="1"/>
    <row r="119" spans="1:8" hidden="1"/>
    <row r="120" spans="1:8" hidden="1"/>
    <row r="121" spans="1:8" hidden="1"/>
    <row r="122" spans="1:8" hidden="1"/>
    <row r="123" spans="1:8" hidden="1"/>
    <row r="124" spans="1:8" hidden="1"/>
    <row r="125" spans="1:8" hidden="1"/>
    <row r="126" spans="1:8" hidden="1"/>
    <row r="127" spans="1:8" hidden="1"/>
    <row r="128" spans="1:8" hidden="1"/>
    <row r="129" spans="2:57" hidden="1">
      <c r="B129" s="252" t="s">
        <v>48</v>
      </c>
      <c r="C129" s="252"/>
      <c r="D129" s="252"/>
      <c r="E129" s="252"/>
      <c r="F129" s="252"/>
      <c r="G129" s="252"/>
      <c r="H129" s="252"/>
      <c r="I129" s="252"/>
      <c r="J129" s="252"/>
      <c r="K129" s="252"/>
      <c r="L129" s="252"/>
    </row>
    <row r="130" spans="2:57" hidden="1">
      <c r="B130" s="252"/>
      <c r="C130" s="252"/>
      <c r="D130" s="252"/>
      <c r="E130" s="252"/>
      <c r="F130" s="252"/>
      <c r="G130" s="252"/>
      <c r="H130" s="252"/>
      <c r="I130" s="252"/>
      <c r="J130" s="252"/>
      <c r="K130" s="252"/>
      <c r="L130" s="252"/>
    </row>
    <row r="131" spans="2:57" ht="18" hidden="1">
      <c r="B131" s="252" t="s">
        <v>175</v>
      </c>
      <c r="C131" s="252"/>
      <c r="D131" s="252"/>
      <c r="E131" s="252"/>
      <c r="F131" s="252"/>
      <c r="G131" s="91"/>
      <c r="H131" s="91"/>
      <c r="I131" s="91"/>
      <c r="J131" s="91"/>
      <c r="K131" s="91"/>
      <c r="L131" s="91"/>
    </row>
    <row r="132" spans="2:57" ht="15" hidden="1">
      <c r="B132" s="245"/>
      <c r="C132" s="245"/>
      <c r="D132" s="245"/>
      <c r="E132" s="245"/>
      <c r="F132" s="245"/>
      <c r="G132" s="245"/>
      <c r="H132" s="245"/>
      <c r="I132" s="245"/>
      <c r="J132" s="245"/>
      <c r="K132" s="245"/>
      <c r="L132" s="245"/>
      <c r="T132" s="38" t="s">
        <v>302</v>
      </c>
      <c r="W132" s="71" t="s">
        <v>29</v>
      </c>
    </row>
    <row r="133" spans="2:57" ht="18" hidden="1"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T133" s="38" t="s">
        <v>184</v>
      </c>
      <c r="V133" s="38" t="s">
        <v>264</v>
      </c>
      <c r="W133" s="38" t="str">
        <f>IF(E40=$T$133,$T$143,IF(E40=$T$134,$T$144,IF(E40=$T$135,$T$146,IF(E40=$T$136,$T$145,IF(E40=$T$137,$T$148,IF(E40=$T$138,$T$142,IF(E40=T139,T149,IF(E40=T132,T150,""))))))))</f>
        <v/>
      </c>
    </row>
    <row r="134" spans="2:57" ht="20.25" hidden="1">
      <c r="B134" s="249" t="s">
        <v>29</v>
      </c>
      <c r="C134" s="249"/>
      <c r="D134" s="249"/>
      <c r="E134" s="249"/>
      <c r="F134" s="249"/>
      <c r="G134" s="249"/>
      <c r="H134" s="92"/>
      <c r="I134" s="249" t="s">
        <v>30</v>
      </c>
      <c r="J134" s="249"/>
      <c r="K134" s="249"/>
      <c r="L134" s="249"/>
      <c r="T134" s="38" t="s">
        <v>185</v>
      </c>
      <c r="V134" s="38" t="s">
        <v>265</v>
      </c>
      <c r="W134" s="38" t="str">
        <f>IF(E40=T135,T147,"")</f>
        <v/>
      </c>
    </row>
    <row r="135" spans="2:57" ht="18" hidden="1">
      <c r="B135" s="91"/>
      <c r="C135" s="91"/>
      <c r="D135" s="91"/>
      <c r="E135" s="91"/>
      <c r="F135" s="91"/>
      <c r="G135" s="91"/>
      <c r="H135" s="92"/>
      <c r="I135" s="91"/>
      <c r="J135" s="91"/>
      <c r="K135" s="91"/>
      <c r="L135" s="91"/>
      <c r="T135" s="38" t="s">
        <v>187</v>
      </c>
    </row>
    <row r="136" spans="2:57" ht="18" hidden="1">
      <c r="B136" s="91"/>
      <c r="C136" s="91"/>
      <c r="D136" s="91"/>
      <c r="E136" s="91"/>
      <c r="F136" s="91"/>
      <c r="G136" s="91"/>
      <c r="H136" s="92"/>
      <c r="I136" s="91"/>
      <c r="J136" s="91"/>
      <c r="K136" s="91"/>
      <c r="L136" s="91"/>
      <c r="T136" s="38" t="s">
        <v>186</v>
      </c>
      <c r="W136" s="71" t="s">
        <v>30</v>
      </c>
    </row>
    <row r="137" spans="2:57" ht="18" hidden="1">
      <c r="B137" s="245" t="s">
        <v>176</v>
      </c>
      <c r="C137" s="245"/>
      <c r="D137" s="245"/>
      <c r="E137" s="245"/>
      <c r="F137" s="245"/>
      <c r="G137" s="245"/>
      <c r="H137" s="92"/>
      <c r="I137" s="245" t="s">
        <v>176</v>
      </c>
      <c r="J137" s="245"/>
      <c r="K137" s="245"/>
      <c r="L137" s="245"/>
      <c r="T137" s="38" t="s">
        <v>188</v>
      </c>
      <c r="W137" s="38" t="str">
        <f>IF(G40=$T$133,$T$143,IF(G40=$T$134,$T$144,IF(G40=$T$135,$T$146,IF(G40=$T$136,$T$145,IF(G40=$T$137,$T$148,IF(G40=$T$138,$T$142,IF(G40=$T$139,$T$149,IF(G40=$T$132,$T$150,""))))))))</f>
        <v/>
      </c>
    </row>
    <row r="138" spans="2:57" ht="18" hidden="1">
      <c r="B138" s="245"/>
      <c r="C138" s="245"/>
      <c r="D138" s="245"/>
      <c r="E138" s="245"/>
      <c r="F138" s="245"/>
      <c r="G138" s="245"/>
      <c r="H138" s="92"/>
      <c r="I138" s="246"/>
      <c r="J138" s="245"/>
      <c r="K138" s="245"/>
      <c r="L138" s="245"/>
      <c r="T138" s="38" t="s">
        <v>117</v>
      </c>
      <c r="W138" s="38" t="str">
        <f>IF(G40=T135,T147,"")</f>
        <v/>
      </c>
    </row>
    <row r="139" spans="2:57" ht="18" hidden="1">
      <c r="B139" s="91"/>
      <c r="C139" s="91"/>
      <c r="D139" s="91"/>
      <c r="E139" s="91"/>
      <c r="F139" s="91"/>
      <c r="G139" s="91"/>
      <c r="H139" s="92"/>
      <c r="I139" s="91"/>
      <c r="J139" s="91"/>
      <c r="K139" s="91"/>
      <c r="L139" s="91"/>
      <c r="T139" s="38" t="s">
        <v>278</v>
      </c>
    </row>
    <row r="140" spans="2:57" ht="18" hidden="1">
      <c r="B140" s="245" t="s">
        <v>181</v>
      </c>
      <c r="C140" s="245"/>
      <c r="D140" s="245"/>
      <c r="E140" s="245"/>
      <c r="F140" s="91"/>
      <c r="G140" s="91"/>
      <c r="H140" s="92"/>
      <c r="I140" s="245" t="s">
        <v>181</v>
      </c>
      <c r="J140" s="245"/>
      <c r="K140" s="91"/>
      <c r="L140" s="91"/>
    </row>
    <row r="141" spans="2:57" ht="25.5" hidden="1">
      <c r="B141" s="226"/>
      <c r="C141" s="226"/>
      <c r="D141" s="226"/>
      <c r="E141" s="226"/>
      <c r="F141" s="226"/>
      <c r="G141" s="247"/>
      <c r="H141" s="93"/>
      <c r="I141" s="248"/>
      <c r="J141" s="226"/>
      <c r="K141" s="226"/>
      <c r="L141" s="226"/>
      <c r="AP141" s="96"/>
      <c r="AQ141" s="97" t="s">
        <v>0</v>
      </c>
      <c r="AR141" s="98" t="s">
        <v>1</v>
      </c>
      <c r="AS141" s="96"/>
      <c r="AT141" s="96"/>
      <c r="AU141" s="96"/>
      <c r="AV141" s="96"/>
      <c r="AW141" s="96"/>
      <c r="AX141" s="96"/>
      <c r="AY141" s="96"/>
      <c r="AZ141" s="96"/>
      <c r="BA141" s="96"/>
    </row>
    <row r="142" spans="2:57" ht="20.25" hidden="1">
      <c r="H142" s="93"/>
      <c r="O142" s="99" t="s">
        <v>29</v>
      </c>
      <c r="Q142" s="99" t="s">
        <v>30</v>
      </c>
      <c r="S142" s="94">
        <v>1</v>
      </c>
      <c r="T142" s="95" t="s">
        <v>117</v>
      </c>
      <c r="AO142" s="100"/>
      <c r="AP142" s="101" t="s">
        <v>365</v>
      </c>
      <c r="AQ142" s="101" t="s">
        <v>366</v>
      </c>
      <c r="AR142" s="102" t="s">
        <v>366</v>
      </c>
      <c r="AS142" s="101" t="s">
        <v>367</v>
      </c>
      <c r="AT142" s="101" t="s">
        <v>4</v>
      </c>
      <c r="AU142" s="101" t="s">
        <v>5</v>
      </c>
      <c r="AV142" s="103"/>
      <c r="AW142" s="103"/>
      <c r="AX142" s="103"/>
      <c r="AY142" s="103"/>
      <c r="AZ142" s="103"/>
      <c r="BA142" s="103"/>
    </row>
    <row r="143" spans="2:57" hidden="1">
      <c r="B143" s="242" t="s">
        <v>2</v>
      </c>
      <c r="C143" s="242"/>
      <c r="D143" s="242"/>
      <c r="E143" s="242"/>
      <c r="F143" s="242"/>
      <c r="G143" s="242"/>
      <c r="H143" s="93"/>
      <c r="I143" s="242" t="s">
        <v>2</v>
      </c>
      <c r="J143" s="242"/>
      <c r="K143" s="242"/>
      <c r="L143" s="242"/>
      <c r="S143" s="94">
        <v>2</v>
      </c>
      <c r="T143" s="95" t="s">
        <v>144</v>
      </c>
      <c r="V143" s="94">
        <v>1</v>
      </c>
      <c r="W143" s="95" t="s">
        <v>3</v>
      </c>
      <c r="AO143" s="100">
        <v>0</v>
      </c>
      <c r="AP143" s="100">
        <v>0</v>
      </c>
      <c r="AQ143" s="100">
        <v>0</v>
      </c>
      <c r="AR143" s="104">
        <v>0</v>
      </c>
      <c r="AS143" s="100">
        <v>0</v>
      </c>
      <c r="AT143" s="100">
        <v>0</v>
      </c>
      <c r="AU143" s="100">
        <v>0</v>
      </c>
    </row>
    <row r="144" spans="2:57" ht="15" hidden="1" thickBot="1">
      <c r="H144" s="93"/>
      <c r="O144" s="38">
        <f>IF($E$42=$T$143,$S$143,IF($E$42=$T$144,$S$144,IF($E$42=$T$145,$S$145,IF($E$42=$T$146,$S$146,IF($E$42=$T$147,$S$147,IF($E$42=$T$148,$S$148,IF($E$42=$T$149,$S$142,IF($E$42=$T$151,$S$151,1))))))))</f>
        <v>0</v>
      </c>
      <c r="Q144" s="38">
        <f>IF($G$42=$T$142,$S$142,IF($G$42=$T$143,$S$143,IF($G$42=$T$144,$S$144,IF($G$42=$T$145,$S$145,IF($G$42=$T$146,$S$146,IF($G$42=$T$147,$S$147,IF($G$42=$T$148,$S$148,IF($G$42=$T$149,$S$142,IF($G$42=$T$150,$S$142,IF($G$42=$T$151,$S$151,1))))))))))</f>
        <v>0</v>
      </c>
      <c r="S144" s="94">
        <v>3</v>
      </c>
      <c r="T144" s="95" t="s">
        <v>15</v>
      </c>
      <c r="V144" s="94">
        <v>2</v>
      </c>
      <c r="W144" s="95" t="s">
        <v>6</v>
      </c>
      <c r="AM144" s="105" t="s">
        <v>152</v>
      </c>
      <c r="AN144" s="105"/>
      <c r="AO144" s="105">
        <v>100001</v>
      </c>
      <c r="AP144" s="106">
        <v>0</v>
      </c>
      <c r="AQ144" s="106">
        <v>0</v>
      </c>
      <c r="AR144" s="107">
        <v>0</v>
      </c>
      <c r="AS144" s="106">
        <v>0</v>
      </c>
      <c r="AT144" s="106">
        <v>0</v>
      </c>
      <c r="AU144" s="106">
        <v>0</v>
      </c>
      <c r="AV144" s="94"/>
      <c r="AX144" s="94"/>
      <c r="AY144" s="94"/>
      <c r="AZ144" s="94"/>
      <c r="BB144" s="95"/>
      <c r="BC144" s="108"/>
      <c r="BD144" s="108"/>
      <c r="BE144" s="95"/>
    </row>
    <row r="145" spans="2:57" hidden="1">
      <c r="B145" s="242"/>
      <c r="C145" s="242"/>
      <c r="D145" s="242"/>
      <c r="E145" s="242"/>
      <c r="F145" s="242"/>
      <c r="G145" s="242"/>
      <c r="H145" s="93"/>
      <c r="I145" s="242"/>
      <c r="J145" s="242"/>
      <c r="K145" s="242"/>
      <c r="L145" s="242"/>
      <c r="S145" s="94">
        <v>4</v>
      </c>
      <c r="T145" s="95" t="s">
        <v>145</v>
      </c>
      <c r="AM145" s="227" t="s">
        <v>13</v>
      </c>
      <c r="AN145" s="109">
        <v>1</v>
      </c>
      <c r="AO145" s="109">
        <v>201001</v>
      </c>
      <c r="AP145" s="110">
        <v>17</v>
      </c>
      <c r="AQ145" s="110">
        <v>4</v>
      </c>
      <c r="AR145" s="111"/>
      <c r="AS145" s="111"/>
      <c r="AT145" s="110">
        <v>5</v>
      </c>
      <c r="AU145" s="110">
        <v>3</v>
      </c>
      <c r="AV145" s="94"/>
      <c r="AX145" s="94"/>
      <c r="AY145" s="94"/>
      <c r="AZ145" s="94"/>
      <c r="BB145" s="95"/>
      <c r="BC145" s="108"/>
      <c r="BD145" s="108"/>
      <c r="BE145" s="95"/>
    </row>
    <row r="146" spans="2:57" hidden="1">
      <c r="B146" s="242" t="s">
        <v>9</v>
      </c>
      <c r="C146" s="242"/>
      <c r="D146" s="242"/>
      <c r="E146" s="242"/>
      <c r="F146" s="242"/>
      <c r="G146" s="242"/>
      <c r="H146" s="93"/>
      <c r="I146" s="242" t="s">
        <v>9</v>
      </c>
      <c r="J146" s="242"/>
      <c r="K146" s="242"/>
      <c r="L146" s="242"/>
      <c r="S146" s="94">
        <v>5</v>
      </c>
      <c r="T146" s="95" t="s">
        <v>149</v>
      </c>
      <c r="V146" s="94">
        <v>1</v>
      </c>
      <c r="W146" s="95" t="s">
        <v>10</v>
      </c>
      <c r="AM146" s="228"/>
      <c r="AN146" s="100">
        <v>2</v>
      </c>
      <c r="AO146" s="100">
        <v>201002</v>
      </c>
      <c r="AP146" s="112">
        <v>16</v>
      </c>
      <c r="AQ146" s="112">
        <v>4</v>
      </c>
      <c r="AR146" s="113"/>
      <c r="AS146" s="113"/>
      <c r="AT146" s="112">
        <v>10</v>
      </c>
      <c r="AU146" s="112">
        <v>2.5</v>
      </c>
      <c r="AV146" s="94"/>
      <c r="AX146" s="94"/>
      <c r="AY146" s="94"/>
      <c r="AZ146" s="94"/>
      <c r="BB146" s="95"/>
      <c r="BC146" s="108"/>
      <c r="BD146" s="108"/>
      <c r="BE146" s="95"/>
    </row>
    <row r="147" spans="2:57" hidden="1">
      <c r="H147" s="93"/>
      <c r="O147" s="38">
        <f>IF($E$44=$T$154,$S$154,IF($E$44=$T$155,$S$155,0))</f>
        <v>0</v>
      </c>
      <c r="Q147" s="38">
        <f>IF($G$44=$T$154,$S$154,IF($G$44=$T$155,$S$155,0))</f>
        <v>0</v>
      </c>
      <c r="S147" s="94">
        <v>6</v>
      </c>
      <c r="T147" s="95" t="s">
        <v>150</v>
      </c>
      <c r="V147" s="94">
        <v>2</v>
      </c>
      <c r="W147" s="95" t="s">
        <v>147</v>
      </c>
      <c r="AM147" s="228"/>
      <c r="AN147" s="100">
        <v>3</v>
      </c>
      <c r="AO147" s="100">
        <v>201003</v>
      </c>
      <c r="AP147" s="112">
        <v>16</v>
      </c>
      <c r="AQ147" s="112">
        <v>4</v>
      </c>
      <c r="AR147" s="113"/>
      <c r="AS147" s="113"/>
      <c r="AT147" s="112">
        <v>20</v>
      </c>
      <c r="AU147" s="112">
        <v>2</v>
      </c>
      <c r="AV147" s="94"/>
      <c r="AX147" s="94"/>
      <c r="AY147" s="94"/>
      <c r="AZ147" s="94"/>
      <c r="BB147" s="95"/>
      <c r="BC147" s="108"/>
      <c r="BD147" s="108"/>
      <c r="BE147" s="95"/>
    </row>
    <row r="148" spans="2:57" hidden="1">
      <c r="B148" s="242"/>
      <c r="C148" s="242"/>
      <c r="D148" s="242"/>
      <c r="E148" s="242"/>
      <c r="F148" s="242"/>
      <c r="G148" s="242"/>
      <c r="H148" s="93"/>
      <c r="I148" s="242"/>
      <c r="J148" s="242"/>
      <c r="K148" s="242"/>
      <c r="L148" s="242"/>
      <c r="S148" s="94">
        <v>7</v>
      </c>
      <c r="T148" s="95" t="s">
        <v>146</v>
      </c>
      <c r="AM148" s="228"/>
      <c r="AN148" s="100">
        <v>4</v>
      </c>
      <c r="AO148" s="100">
        <v>202111</v>
      </c>
      <c r="AP148" s="112">
        <v>16</v>
      </c>
      <c r="AQ148" s="112">
        <v>1</v>
      </c>
      <c r="AR148" s="113"/>
      <c r="AS148" s="113"/>
      <c r="AT148" s="112">
        <v>45</v>
      </c>
      <c r="AU148" s="112">
        <v>1.5</v>
      </c>
      <c r="AV148" s="94"/>
      <c r="AX148" s="94"/>
      <c r="AY148" s="94"/>
      <c r="AZ148" s="94"/>
      <c r="BB148" s="95"/>
      <c r="BC148" s="108"/>
      <c r="BD148" s="108"/>
      <c r="BE148" s="95"/>
    </row>
    <row r="149" spans="2:57" hidden="1">
      <c r="B149" s="242" t="s">
        <v>25</v>
      </c>
      <c r="C149" s="242"/>
      <c r="D149" s="242"/>
      <c r="E149" s="242"/>
      <c r="F149" s="242"/>
      <c r="G149" s="242"/>
      <c r="H149" s="93"/>
      <c r="I149" s="242" t="s">
        <v>25</v>
      </c>
      <c r="J149" s="242"/>
      <c r="K149" s="242"/>
      <c r="L149" s="242"/>
      <c r="S149" s="94">
        <v>8</v>
      </c>
      <c r="T149" s="95" t="s">
        <v>278</v>
      </c>
      <c r="V149" s="94">
        <v>1</v>
      </c>
      <c r="W149" s="95" t="s">
        <v>14</v>
      </c>
      <c r="AM149" s="228"/>
      <c r="AN149" s="100">
        <v>5</v>
      </c>
      <c r="AO149" s="100">
        <v>202112</v>
      </c>
      <c r="AP149" s="112">
        <v>16</v>
      </c>
      <c r="AQ149" s="112">
        <v>1</v>
      </c>
      <c r="AR149" s="113"/>
      <c r="AS149" s="113"/>
      <c r="AT149" s="112">
        <v>45</v>
      </c>
      <c r="AU149" s="112">
        <v>1.5</v>
      </c>
      <c r="AV149" s="94"/>
      <c r="AX149" s="94"/>
      <c r="AY149" s="94"/>
      <c r="AZ149" s="94"/>
      <c r="BB149" s="95"/>
      <c r="BC149" s="108"/>
      <c r="BD149" s="108"/>
      <c r="BE149" s="95"/>
    </row>
    <row r="150" spans="2:57" hidden="1">
      <c r="H150" s="93"/>
      <c r="O150" s="38">
        <f>IF($E$43=$W$143,$V$143,IF($E$43=$W$144,$V$144,0))</f>
        <v>0</v>
      </c>
      <c r="Q150" s="38">
        <f>IF($G$43=$W$143,$V$143,IF($G$43=$W$144,$V$144,0))</f>
        <v>0</v>
      </c>
      <c r="S150" s="94">
        <v>9</v>
      </c>
      <c r="T150" s="95" t="s">
        <v>302</v>
      </c>
      <c r="V150" s="94">
        <v>2</v>
      </c>
      <c r="W150" s="95" t="s">
        <v>16</v>
      </c>
      <c r="AM150" s="228"/>
      <c r="AN150" s="100">
        <v>6</v>
      </c>
      <c r="AO150" s="100">
        <v>202121</v>
      </c>
      <c r="AP150" s="112">
        <v>16</v>
      </c>
      <c r="AQ150" s="112">
        <v>1.5</v>
      </c>
      <c r="AR150" s="113"/>
      <c r="AS150" s="113"/>
      <c r="AT150" s="112">
        <v>45</v>
      </c>
      <c r="AU150" s="112">
        <v>2</v>
      </c>
      <c r="AV150" s="94"/>
      <c r="AX150" s="94"/>
      <c r="AY150" s="94"/>
      <c r="AZ150" s="94"/>
      <c r="BB150" s="95"/>
      <c r="BC150" s="108"/>
      <c r="BD150" s="108"/>
      <c r="BE150" s="95"/>
    </row>
    <row r="151" spans="2:57" hidden="1">
      <c r="B151" s="242"/>
      <c r="C151" s="242"/>
      <c r="D151" s="242"/>
      <c r="E151" s="242"/>
      <c r="F151" s="242"/>
      <c r="G151" s="242"/>
      <c r="H151" s="93"/>
      <c r="I151" s="242"/>
      <c r="J151" s="242"/>
      <c r="K151" s="242"/>
      <c r="L151" s="242"/>
      <c r="O151" s="38">
        <f>O144*1000+O147*100+O150*10</f>
        <v>0</v>
      </c>
      <c r="Q151" s="38">
        <f>Q144*1000+Q147*100+Q150*10</f>
        <v>0</v>
      </c>
      <c r="S151" s="94"/>
      <c r="T151" s="95"/>
      <c r="AM151" s="228"/>
      <c r="AN151" s="100">
        <v>7</v>
      </c>
      <c r="AO151" s="100">
        <v>202122</v>
      </c>
      <c r="AP151" s="112">
        <v>16</v>
      </c>
      <c r="AQ151" s="112">
        <v>1.5</v>
      </c>
      <c r="AR151" s="113"/>
      <c r="AS151" s="113"/>
      <c r="AT151" s="112">
        <v>45</v>
      </c>
      <c r="AU151" s="112">
        <v>2</v>
      </c>
      <c r="AV151" s="94"/>
      <c r="AX151" s="94"/>
      <c r="AY151" s="94"/>
      <c r="AZ151" s="94"/>
      <c r="BB151" s="95"/>
      <c r="BC151" s="108"/>
      <c r="BD151" s="108"/>
      <c r="BE151" s="95"/>
    </row>
    <row r="152" spans="2:57" hidden="1">
      <c r="B152" s="242" t="s">
        <v>26</v>
      </c>
      <c r="C152" s="242"/>
      <c r="D152" s="242"/>
      <c r="E152" s="242"/>
      <c r="F152" s="242"/>
      <c r="G152" s="242"/>
      <c r="H152" s="93"/>
      <c r="I152" s="242" t="s">
        <v>26</v>
      </c>
      <c r="J152" s="242"/>
      <c r="K152" s="242"/>
      <c r="L152" s="242"/>
      <c r="S152" s="94"/>
      <c r="V152" s="94">
        <v>1</v>
      </c>
      <c r="W152" s="95" t="s">
        <v>17</v>
      </c>
      <c r="AM152" s="228"/>
      <c r="AN152" s="100">
        <v>8</v>
      </c>
      <c r="AO152" s="100">
        <v>202211</v>
      </c>
      <c r="AP152" s="112">
        <v>16</v>
      </c>
      <c r="AQ152" s="112">
        <v>1</v>
      </c>
      <c r="AR152" s="113"/>
      <c r="AS152" s="113"/>
      <c r="AT152" s="112">
        <v>100</v>
      </c>
      <c r="AU152" s="112">
        <v>1.5</v>
      </c>
      <c r="AV152" s="94"/>
      <c r="AX152" s="94"/>
      <c r="AY152" s="94"/>
      <c r="AZ152" s="94"/>
      <c r="BB152" s="95"/>
      <c r="BC152" s="108"/>
      <c r="BD152" s="108"/>
      <c r="BE152" s="95"/>
    </row>
    <row r="153" spans="2:57" ht="15" hidden="1" thickBot="1">
      <c r="H153" s="93"/>
      <c r="O153" s="38">
        <f>IF($E$45=$W$146,$V$146,IF($E$45=$W$147,$V$147,0))</f>
        <v>0</v>
      </c>
      <c r="Q153" s="38">
        <f>IF($G$45=$W$146,$V$146,IF($G$45=$W$147,$V$147,0))</f>
        <v>0</v>
      </c>
      <c r="S153" s="94"/>
      <c r="V153" s="94">
        <v>2</v>
      </c>
      <c r="W153" s="95" t="s">
        <v>18</v>
      </c>
      <c r="AM153" s="229"/>
      <c r="AN153" s="105">
        <v>9</v>
      </c>
      <c r="AO153" s="105">
        <v>202221</v>
      </c>
      <c r="AP153" s="106">
        <v>16</v>
      </c>
      <c r="AQ153" s="106">
        <v>1.5</v>
      </c>
      <c r="AR153" s="107"/>
      <c r="AS153" s="107"/>
      <c r="AT153" s="106">
        <v>100</v>
      </c>
      <c r="AU153" s="106">
        <v>2</v>
      </c>
      <c r="AV153" s="94"/>
      <c r="AX153" s="94"/>
      <c r="AY153" s="94"/>
      <c r="AZ153" s="94"/>
      <c r="BB153" s="95"/>
      <c r="BC153" s="108"/>
      <c r="BD153" s="108"/>
      <c r="BE153" s="95"/>
    </row>
    <row r="154" spans="2:57" hidden="1">
      <c r="B154" s="242"/>
      <c r="C154" s="242"/>
      <c r="D154" s="242"/>
      <c r="E154" s="242"/>
      <c r="F154" s="242"/>
      <c r="G154" s="242"/>
      <c r="H154" s="93"/>
      <c r="I154" s="242"/>
      <c r="J154" s="242"/>
      <c r="K154" s="242"/>
      <c r="L154" s="242"/>
      <c r="S154" s="94">
        <v>1</v>
      </c>
      <c r="T154" s="95" t="s">
        <v>116</v>
      </c>
      <c r="V154" s="94">
        <v>0</v>
      </c>
      <c r="W154" s="95" t="s">
        <v>19</v>
      </c>
      <c r="AM154" s="227" t="s">
        <v>15</v>
      </c>
      <c r="AN154" s="109">
        <v>1</v>
      </c>
      <c r="AO154" s="109">
        <v>301001</v>
      </c>
      <c r="AP154" s="110" t="s">
        <v>159</v>
      </c>
      <c r="AQ154" s="110" t="s">
        <v>159</v>
      </c>
      <c r="AR154" s="111"/>
      <c r="AS154" s="111"/>
      <c r="AT154" s="110" t="s">
        <v>159</v>
      </c>
      <c r="AU154" s="110" t="s">
        <v>159</v>
      </c>
      <c r="AV154" s="94"/>
      <c r="AX154" s="94"/>
      <c r="AY154" s="94"/>
      <c r="AZ154" s="94"/>
      <c r="BB154" s="95"/>
      <c r="BC154" s="108"/>
      <c r="BD154" s="108"/>
      <c r="BE154" s="95"/>
    </row>
    <row r="155" spans="2:57" hidden="1">
      <c r="B155" s="242" t="s">
        <v>27</v>
      </c>
      <c r="C155" s="242"/>
      <c r="D155" s="242"/>
      <c r="E155" s="242"/>
      <c r="F155" s="242"/>
      <c r="G155" s="242"/>
      <c r="H155" s="93"/>
      <c r="I155" s="242" t="s">
        <v>27</v>
      </c>
      <c r="J155" s="242"/>
      <c r="K155" s="242"/>
      <c r="L155" s="242"/>
      <c r="S155" s="94">
        <v>2</v>
      </c>
      <c r="T155" s="95" t="s">
        <v>20</v>
      </c>
      <c r="AM155" s="228"/>
      <c r="AN155" s="100">
        <v>2</v>
      </c>
      <c r="AO155" s="100">
        <v>301002</v>
      </c>
      <c r="AP155" s="112" t="s">
        <v>159</v>
      </c>
      <c r="AQ155" s="112" t="s">
        <v>159</v>
      </c>
      <c r="AR155" s="113"/>
      <c r="AS155" s="113"/>
      <c r="AT155" s="112" t="s">
        <v>159</v>
      </c>
      <c r="AU155" s="112" t="s">
        <v>159</v>
      </c>
      <c r="AV155" s="94"/>
      <c r="AX155" s="94"/>
      <c r="AY155" s="94"/>
      <c r="AZ155" s="94"/>
      <c r="BB155" s="95"/>
      <c r="BC155" s="108"/>
      <c r="BD155" s="108"/>
      <c r="BE155" s="95"/>
    </row>
    <row r="156" spans="2:57" hidden="1">
      <c r="H156" s="93"/>
      <c r="O156" s="38">
        <f>IF($E$46=$W$149,$V$149,IF($E$46=$W$150,$V$150,0))</f>
        <v>0</v>
      </c>
      <c r="Q156" s="38">
        <f>IF($G$46=$W$149,$V$149,IF($G$46=$W$150,$V$150,0))</f>
        <v>0</v>
      </c>
      <c r="V156" s="94">
        <v>1</v>
      </c>
      <c r="W156" s="95" t="s">
        <v>21</v>
      </c>
      <c r="AM156" s="228"/>
      <c r="AN156" s="100">
        <v>3</v>
      </c>
      <c r="AO156" s="100">
        <v>301003</v>
      </c>
      <c r="AP156" s="112" t="s">
        <v>159</v>
      </c>
      <c r="AQ156" s="112" t="s">
        <v>159</v>
      </c>
      <c r="AR156" s="104"/>
      <c r="AS156" s="113"/>
      <c r="AT156" s="112" t="s">
        <v>159</v>
      </c>
      <c r="AU156" s="112" t="s">
        <v>159</v>
      </c>
      <c r="AV156" s="94"/>
      <c r="AW156" s="94"/>
      <c r="AX156" s="94"/>
      <c r="AY156" s="94"/>
      <c r="AZ156" s="94"/>
      <c r="BB156" s="95"/>
      <c r="BC156" s="108"/>
      <c r="BD156" s="108"/>
      <c r="BE156" s="95"/>
    </row>
    <row r="157" spans="2:57" hidden="1">
      <c r="B157" s="242"/>
      <c r="C157" s="242"/>
      <c r="D157" s="242"/>
      <c r="E157" s="242"/>
      <c r="F157" s="242"/>
      <c r="G157" s="242"/>
      <c r="H157" s="93"/>
      <c r="I157" s="242"/>
      <c r="J157" s="242"/>
      <c r="K157" s="242"/>
      <c r="L157" s="242"/>
      <c r="O157" s="38">
        <f>O144*10000+O147*1000+O150*100+O153*10+O156</f>
        <v>0</v>
      </c>
      <c r="Q157" s="38">
        <f>Q144*10000+Q147*1000+Q150*100+Q153*10+Q156</f>
        <v>0</v>
      </c>
      <c r="V157" s="94">
        <v>2</v>
      </c>
      <c r="W157" s="95" t="s">
        <v>22</v>
      </c>
      <c r="AM157" s="228"/>
      <c r="AN157" s="100">
        <v>4</v>
      </c>
      <c r="AO157" s="100">
        <v>302111</v>
      </c>
      <c r="AP157" s="112">
        <v>16</v>
      </c>
      <c r="AQ157" s="112">
        <v>1.5</v>
      </c>
      <c r="AR157" s="113"/>
      <c r="AS157" s="113"/>
      <c r="AT157" s="112">
        <v>25</v>
      </c>
      <c r="AU157" s="112">
        <v>1.5</v>
      </c>
      <c r="AV157" s="94"/>
      <c r="AX157" s="94"/>
      <c r="AY157" s="94"/>
      <c r="AZ157" s="94"/>
      <c r="BB157" s="95"/>
      <c r="BC157" s="108"/>
      <c r="BD157" s="108"/>
      <c r="BE157" s="95"/>
    </row>
    <row r="158" spans="2:57" hidden="1">
      <c r="B158" s="242" t="s">
        <v>28</v>
      </c>
      <c r="C158" s="242"/>
      <c r="D158" s="242"/>
      <c r="E158" s="242"/>
      <c r="F158" s="242"/>
      <c r="G158" s="242"/>
      <c r="H158" s="93"/>
      <c r="I158" s="242" t="s">
        <v>28</v>
      </c>
      <c r="J158" s="242"/>
      <c r="K158" s="242"/>
      <c r="L158" s="242"/>
      <c r="S158" s="94">
        <v>1</v>
      </c>
      <c r="T158" s="95" t="s">
        <v>7</v>
      </c>
      <c r="V158" s="94">
        <v>3</v>
      </c>
      <c r="W158" s="95" t="s">
        <v>23</v>
      </c>
      <c r="AM158" s="228"/>
      <c r="AN158" s="100">
        <v>5</v>
      </c>
      <c r="AO158" s="100">
        <v>302112</v>
      </c>
      <c r="AP158" s="112">
        <v>16</v>
      </c>
      <c r="AQ158" s="112">
        <v>1.5</v>
      </c>
      <c r="AR158" s="113"/>
      <c r="AS158" s="113"/>
      <c r="AT158" s="112">
        <v>25</v>
      </c>
      <c r="AU158" s="112">
        <v>1.5</v>
      </c>
      <c r="AV158" s="94"/>
      <c r="AX158" s="94"/>
      <c r="AY158" s="94"/>
      <c r="AZ158" s="94"/>
      <c r="BB158" s="95"/>
      <c r="BC158" s="108"/>
      <c r="BD158" s="108"/>
      <c r="BE158" s="95"/>
    </row>
    <row r="159" spans="2:57" hidden="1">
      <c r="H159" s="93"/>
      <c r="O159" s="38">
        <f>IF($E$47=$T$170,$S$170,IF($E$47=$T$171,$S$171,IF($E$47=$T$172,$S$172,$S$173)))</f>
        <v>4</v>
      </c>
      <c r="Q159" s="38">
        <f>IF($G$47=$T$179,$S$179,IF($G$47=$T$180,$S$180,IF($G$47=$T$181,$S$181,$S$182)))</f>
        <v>4</v>
      </c>
      <c r="S159" s="94">
        <v>2</v>
      </c>
      <c r="T159" s="95" t="s">
        <v>8</v>
      </c>
      <c r="AM159" s="228"/>
      <c r="AN159" s="100">
        <v>6</v>
      </c>
      <c r="AO159" s="100">
        <v>302121</v>
      </c>
      <c r="AP159" s="112">
        <v>16</v>
      </c>
      <c r="AQ159" s="112">
        <v>2</v>
      </c>
      <c r="AR159" s="113"/>
      <c r="AS159" s="113"/>
      <c r="AT159" s="112">
        <v>25</v>
      </c>
      <c r="AU159" s="112">
        <v>2</v>
      </c>
      <c r="AV159" s="94"/>
      <c r="AX159" s="94"/>
      <c r="AY159" s="94"/>
      <c r="AZ159" s="94"/>
      <c r="BB159" s="95"/>
      <c r="BC159" s="108"/>
      <c r="BD159" s="108"/>
      <c r="BE159" s="95"/>
    </row>
    <row r="160" spans="2:57" hidden="1">
      <c r="H160" s="93"/>
      <c r="S160" s="94">
        <v>3</v>
      </c>
      <c r="T160" s="95" t="s">
        <v>24</v>
      </c>
      <c r="V160" s="94"/>
      <c r="W160" s="95"/>
      <c r="AM160" s="228"/>
      <c r="AN160" s="100">
        <v>7</v>
      </c>
      <c r="AO160" s="100">
        <v>302122</v>
      </c>
      <c r="AP160" s="112">
        <v>16</v>
      </c>
      <c r="AQ160" s="112">
        <v>2</v>
      </c>
      <c r="AR160" s="113"/>
      <c r="AS160" s="113"/>
      <c r="AT160" s="112">
        <v>25</v>
      </c>
      <c r="AU160" s="112">
        <v>2</v>
      </c>
      <c r="AV160" s="94"/>
      <c r="AW160" s="94"/>
      <c r="AX160" s="94"/>
      <c r="AY160" s="94"/>
      <c r="AZ160" s="94"/>
      <c r="BB160" s="95"/>
      <c r="BC160" s="108"/>
      <c r="BD160" s="108"/>
      <c r="BE160" s="95"/>
    </row>
    <row r="161" spans="2:57" hidden="1">
      <c r="B161" s="242" t="s">
        <v>31</v>
      </c>
      <c r="C161" s="242"/>
      <c r="D161" s="242"/>
      <c r="E161" s="242"/>
      <c r="F161" s="242"/>
      <c r="G161" s="242"/>
      <c r="H161" s="93"/>
      <c r="I161" s="242" t="s">
        <v>43</v>
      </c>
      <c r="J161" s="242"/>
      <c r="K161" s="242"/>
      <c r="L161" s="242"/>
      <c r="O161" s="38">
        <f>O159+O156*10+O153*100+O150*1000+O147*10000+O144*100000</f>
        <v>4</v>
      </c>
      <c r="Q161" s="38">
        <f>Q159+Q156*10+Q153*100+Q150*1000+Q147*10000+Q144*100000</f>
        <v>4</v>
      </c>
      <c r="S161" s="94">
        <v>4</v>
      </c>
      <c r="T161" s="95" t="s">
        <v>205</v>
      </c>
      <c r="V161" s="94"/>
      <c r="W161" s="95"/>
      <c r="AM161" s="228"/>
      <c r="AN161" s="100">
        <v>8</v>
      </c>
      <c r="AO161" s="100">
        <v>302211</v>
      </c>
      <c r="AP161" s="112">
        <v>16</v>
      </c>
      <c r="AQ161" s="112">
        <v>1.5</v>
      </c>
      <c r="AR161" s="113"/>
      <c r="AS161" s="113"/>
      <c r="AT161" s="112">
        <v>25</v>
      </c>
      <c r="AU161" s="112">
        <v>1.5</v>
      </c>
      <c r="AV161" s="94"/>
      <c r="AW161" s="94"/>
      <c r="AX161" s="94"/>
      <c r="AY161" s="94"/>
      <c r="AZ161" s="94"/>
      <c r="BB161" s="95"/>
      <c r="BC161" s="108"/>
      <c r="BD161" s="108"/>
      <c r="BE161" s="95"/>
    </row>
    <row r="162" spans="2:57" ht="15" hidden="1" thickBot="1">
      <c r="B162" s="114" t="s">
        <v>32</v>
      </c>
      <c r="C162" s="114"/>
      <c r="D162" s="114"/>
      <c r="E162" s="244"/>
      <c r="F162" s="244"/>
      <c r="H162" s="93"/>
      <c r="I162" s="114" t="s">
        <v>32</v>
      </c>
      <c r="J162" s="244"/>
      <c r="K162" s="244"/>
      <c r="T162" s="95" t="s">
        <v>11</v>
      </c>
      <c r="AM162" s="229"/>
      <c r="AN162" s="105">
        <v>9</v>
      </c>
      <c r="AO162" s="105">
        <v>302221</v>
      </c>
      <c r="AP162" s="106">
        <v>16</v>
      </c>
      <c r="AQ162" s="106">
        <v>2</v>
      </c>
      <c r="AR162" s="107"/>
      <c r="AS162" s="107"/>
      <c r="AT162" s="106">
        <v>25</v>
      </c>
      <c r="AU162" s="106">
        <v>2</v>
      </c>
      <c r="AV162" s="94"/>
      <c r="AW162" s="94"/>
      <c r="AX162" s="94"/>
      <c r="AY162" s="94"/>
      <c r="AZ162" s="94"/>
      <c r="BB162" s="95"/>
      <c r="BC162" s="108"/>
      <c r="BD162" s="108"/>
      <c r="BE162" s="95"/>
    </row>
    <row r="163" spans="2:57" hidden="1">
      <c r="F163" s="38" t="str">
        <f>IF($O$144=4,E162/0.73/1000000," ")</f>
        <v xml:space="preserve"> </v>
      </c>
      <c r="G163" s="38" t="str">
        <f>IF($O$144=4,"mln m3"," ")</f>
        <v xml:space="preserve"> </v>
      </c>
      <c r="H163" s="93"/>
      <c r="K163" s="38" t="str">
        <f>IF($Q$144=4,J162/0.73/1000000," ")</f>
        <v xml:space="preserve"> </v>
      </c>
      <c r="L163" s="38" t="str">
        <f>IF($Q$144=4,"mln m3"," ")</f>
        <v xml:space="preserve"> </v>
      </c>
      <c r="T163" s="95" t="s">
        <v>12</v>
      </c>
      <c r="AM163" s="227" t="s">
        <v>153</v>
      </c>
      <c r="AN163" s="109">
        <v>1</v>
      </c>
      <c r="AO163" s="109">
        <v>400001</v>
      </c>
      <c r="AP163" s="110">
        <v>19</v>
      </c>
      <c r="AQ163" s="110">
        <v>6.5</v>
      </c>
      <c r="AR163" s="111"/>
      <c r="AS163" s="111"/>
      <c r="AT163" s="110">
        <v>0.5</v>
      </c>
      <c r="AU163" s="110">
        <v>1</v>
      </c>
      <c r="AV163" s="94"/>
      <c r="AW163" s="94"/>
      <c r="AX163" s="94"/>
      <c r="AY163" s="94"/>
      <c r="AZ163" s="94"/>
      <c r="BB163" s="95"/>
      <c r="BC163" s="108"/>
      <c r="BD163" s="108"/>
      <c r="BE163" s="95"/>
    </row>
    <row r="164" spans="2:57" hidden="1">
      <c r="B164" s="242" t="s">
        <v>143</v>
      </c>
      <c r="C164" s="242"/>
      <c r="D164" s="242"/>
      <c r="E164" s="242"/>
      <c r="F164" s="242"/>
      <c r="G164" s="242"/>
      <c r="H164" s="93"/>
      <c r="I164" s="242" t="s">
        <v>143</v>
      </c>
      <c r="J164" s="242"/>
      <c r="K164" s="242"/>
      <c r="L164" s="242"/>
      <c r="S164" s="94">
        <v>1</v>
      </c>
      <c r="T164" s="95" t="s">
        <v>151</v>
      </c>
      <c r="W164" s="38" t="str">
        <f>IF($Q$151&lt;2020,$T$168,IF($Q$151&lt;3010,$W$146:$W$147,IF($Q$151=3010,$T$168,IF($Q$151=3020,$W$146:$W$147,$T$168))))</f>
        <v>NIE DOTYCZY</v>
      </c>
      <c r="X164" s="38" t="e">
        <f>IF($Q$144=1,$T$168,IF($Q$144&lt;=3,$W$143:$W$144,IF($Q$144&lt;=5,$T$168,$W$143:$W$144)))</f>
        <v>#VALUE!</v>
      </c>
      <c r="AM164" s="228"/>
      <c r="AN164" s="100">
        <v>2</v>
      </c>
      <c r="AO164" s="100">
        <v>400002</v>
      </c>
      <c r="AP164" s="112">
        <v>19</v>
      </c>
      <c r="AQ164" s="112">
        <v>5</v>
      </c>
      <c r="AR164" s="113"/>
      <c r="AS164" s="113"/>
      <c r="AT164" s="112">
        <v>0.5</v>
      </c>
      <c r="AU164" s="112">
        <v>2.75</v>
      </c>
      <c r="AV164" s="94"/>
      <c r="AW164" s="94"/>
      <c r="AX164" s="94"/>
      <c r="AY164" s="94"/>
      <c r="AZ164" s="94"/>
      <c r="BB164" s="95"/>
      <c r="BC164" s="108"/>
      <c r="BD164" s="108"/>
      <c r="BE164" s="95"/>
    </row>
    <row r="165" spans="2:57" hidden="1">
      <c r="B165" s="114" t="s">
        <v>33</v>
      </c>
      <c r="C165" s="114"/>
      <c r="D165" s="114"/>
      <c r="E165" s="244"/>
      <c r="F165" s="244"/>
      <c r="G165" s="115" t="s">
        <v>34</v>
      </c>
      <c r="H165" s="93"/>
      <c r="I165" s="114" t="s">
        <v>33</v>
      </c>
      <c r="J165" s="244"/>
      <c r="K165" s="244"/>
      <c r="L165" s="115" t="s">
        <v>34</v>
      </c>
      <c r="S165" s="94">
        <v>2</v>
      </c>
      <c r="T165" s="95" t="s">
        <v>148</v>
      </c>
      <c r="W165" s="38" t="str">
        <f>IF($O$151&lt;2020,$T$168,IF($O$151&lt;3010,$W$149:$W$150,IF($O$151=3010,$T$168,IF($O$151=3020,$W$149:$W$150,$T$168))))</f>
        <v>NIE DOTYCZY</v>
      </c>
      <c r="AM165" s="228"/>
      <c r="AN165" s="100">
        <v>3</v>
      </c>
      <c r="AO165" s="100">
        <v>400003</v>
      </c>
      <c r="AP165" s="112">
        <v>19</v>
      </c>
      <c r="AQ165" s="112">
        <v>5</v>
      </c>
      <c r="AR165" s="113"/>
      <c r="AS165" s="113"/>
      <c r="AT165" s="112">
        <v>0.6</v>
      </c>
      <c r="AU165" s="112">
        <v>1.8</v>
      </c>
      <c r="AV165" s="94"/>
      <c r="AW165" s="94"/>
      <c r="AX165" s="94"/>
      <c r="AY165" s="94"/>
      <c r="AZ165" s="94"/>
      <c r="BB165" s="95"/>
      <c r="BC165" s="108"/>
      <c r="BD165" s="108"/>
      <c r="BE165" s="95"/>
    </row>
    <row r="166" spans="2:57" ht="15" hidden="1" thickBot="1">
      <c r="H166" s="93"/>
      <c r="S166" s="94">
        <v>3</v>
      </c>
      <c r="T166" s="95" t="s">
        <v>266</v>
      </c>
      <c r="AM166" s="229"/>
      <c r="AN166" s="105">
        <v>4</v>
      </c>
      <c r="AO166" s="105">
        <v>400004</v>
      </c>
      <c r="AP166" s="106">
        <v>19</v>
      </c>
      <c r="AQ166" s="106">
        <v>5</v>
      </c>
      <c r="AR166" s="107"/>
      <c r="AS166" s="107"/>
      <c r="AT166" s="106">
        <v>0.4</v>
      </c>
      <c r="AU166" s="106">
        <v>1</v>
      </c>
      <c r="AV166" s="94"/>
      <c r="AW166" s="94"/>
      <c r="AX166" s="94"/>
      <c r="AY166" s="94"/>
      <c r="AZ166" s="94"/>
      <c r="BB166" s="95"/>
      <c r="BC166" s="108"/>
      <c r="BD166" s="108"/>
      <c r="BE166" s="95"/>
    </row>
    <row r="167" spans="2:57" hidden="1">
      <c r="B167" s="242" t="s">
        <v>35</v>
      </c>
      <c r="C167" s="242"/>
      <c r="D167" s="242"/>
      <c r="E167" s="242"/>
      <c r="F167" s="242"/>
      <c r="G167" s="242"/>
      <c r="H167" s="93"/>
      <c r="I167" s="242" t="s">
        <v>35</v>
      </c>
      <c r="J167" s="242"/>
      <c r="K167" s="242"/>
      <c r="L167" s="242"/>
      <c r="AL167" s="243" t="s">
        <v>156</v>
      </c>
      <c r="AM167" s="228" t="s">
        <v>154</v>
      </c>
      <c r="AN167" s="116">
        <v>1</v>
      </c>
      <c r="AO167" s="116">
        <v>510001</v>
      </c>
      <c r="AP167" s="117">
        <v>2</v>
      </c>
      <c r="AQ167" s="117">
        <v>4800</v>
      </c>
      <c r="AR167" s="118"/>
      <c r="AS167" s="118"/>
      <c r="AT167" s="117">
        <v>270</v>
      </c>
      <c r="AU167" s="117">
        <v>12</v>
      </c>
      <c r="AV167" s="94"/>
      <c r="AW167" s="94"/>
      <c r="AX167" s="94"/>
      <c r="AY167" s="94"/>
      <c r="AZ167" s="94"/>
      <c r="BB167" s="95"/>
      <c r="BC167" s="108"/>
      <c r="BD167" s="108"/>
      <c r="BE167" s="95"/>
    </row>
    <row r="168" spans="2:57" hidden="1">
      <c r="B168" s="114" t="s">
        <v>36</v>
      </c>
      <c r="C168" s="114"/>
      <c r="D168" s="114"/>
      <c r="E168" s="244"/>
      <c r="F168" s="244"/>
      <c r="G168" s="115" t="s">
        <v>34</v>
      </c>
      <c r="H168" s="93"/>
      <c r="I168" s="114" t="s">
        <v>36</v>
      </c>
      <c r="J168" s="244"/>
      <c r="K168" s="244"/>
      <c r="L168" s="115" t="s">
        <v>34</v>
      </c>
      <c r="T168" s="95" t="s">
        <v>173</v>
      </c>
      <c r="AL168" s="237"/>
      <c r="AM168" s="228"/>
      <c r="AN168" s="100">
        <v>2</v>
      </c>
      <c r="AO168" s="100">
        <v>510002</v>
      </c>
      <c r="AP168" s="112">
        <v>2</v>
      </c>
      <c r="AQ168" s="112">
        <v>3700</v>
      </c>
      <c r="AR168" s="113"/>
      <c r="AS168" s="113"/>
      <c r="AT168" s="112">
        <v>270</v>
      </c>
      <c r="AU168" s="112">
        <v>14.5</v>
      </c>
      <c r="AV168" s="94"/>
      <c r="AW168" s="94"/>
      <c r="AX168" s="94"/>
      <c r="AY168" s="94"/>
      <c r="AZ168" s="94"/>
      <c r="BB168" s="95"/>
      <c r="BC168" s="108"/>
      <c r="BD168" s="108"/>
      <c r="BE168" s="95"/>
    </row>
    <row r="169" spans="2:57" hidden="1">
      <c r="H169" s="93"/>
      <c r="S169" s="38" t="s">
        <v>44</v>
      </c>
      <c r="AL169" s="237"/>
      <c r="AM169" s="228"/>
      <c r="AN169" s="100">
        <v>3</v>
      </c>
      <c r="AO169" s="100">
        <v>510003</v>
      </c>
      <c r="AP169" s="112">
        <v>2</v>
      </c>
      <c r="AQ169" s="112">
        <v>1920</v>
      </c>
      <c r="AR169" s="113"/>
      <c r="AS169" s="113"/>
      <c r="AT169" s="112">
        <v>270</v>
      </c>
      <c r="AU169" s="112">
        <v>14.5</v>
      </c>
      <c r="AV169" s="94"/>
      <c r="AW169" s="94"/>
      <c r="AX169" s="94"/>
      <c r="AY169" s="94"/>
      <c r="AZ169" s="94"/>
      <c r="BB169" s="95"/>
      <c r="BC169" s="108"/>
      <c r="BD169" s="108"/>
      <c r="BE169" s="95"/>
    </row>
    <row r="170" spans="2:57" hidden="1">
      <c r="B170" s="242" t="s">
        <v>38</v>
      </c>
      <c r="C170" s="242"/>
      <c r="D170" s="242"/>
      <c r="E170" s="242"/>
      <c r="F170" s="242"/>
      <c r="G170" s="242"/>
      <c r="H170" s="93"/>
      <c r="I170" s="242" t="s">
        <v>38</v>
      </c>
      <c r="J170" s="242"/>
      <c r="K170" s="242"/>
      <c r="L170" s="242"/>
      <c r="S170" s="38">
        <v>1</v>
      </c>
      <c r="T170" s="38" t="str">
        <f>IF($O$157&lt;=10100,$W$154,IF($O$157&lt;20101,$W$156,IF($O$157&lt;=20212,$W$152,IF($O$157&lt;=20222,$W$154,IF($O$157&lt;30101,$W$156,IF($O$157&lt;=30212,$W$152,IF($O$157&lt;=30222,$W$154,(IF($O$157&lt;=62000,$T$158,(IF($O$157&lt;=70100,$T$166,$T$164)))))))))))</f>
        <v>Cały zakres wydajności cieplnej</v>
      </c>
      <c r="AL170" s="237"/>
      <c r="AM170" s="239"/>
      <c r="AN170" s="100">
        <v>4</v>
      </c>
      <c r="AO170" s="100">
        <v>510004</v>
      </c>
      <c r="AP170" s="112">
        <v>2</v>
      </c>
      <c r="AQ170" s="112">
        <v>1280</v>
      </c>
      <c r="AR170" s="113"/>
      <c r="AS170" s="113"/>
      <c r="AT170" s="112">
        <v>360</v>
      </c>
      <c r="AU170" s="112">
        <v>15</v>
      </c>
      <c r="AV170" s="94"/>
      <c r="AW170" s="94"/>
      <c r="AX170" s="94"/>
      <c r="AY170" s="94"/>
      <c r="AZ170" s="94"/>
      <c r="BB170" s="95"/>
      <c r="BE170" s="95"/>
    </row>
    <row r="171" spans="2:57" hidden="1">
      <c r="B171" s="114" t="s">
        <v>39</v>
      </c>
      <c r="C171" s="114"/>
      <c r="D171" s="114"/>
      <c r="E171" s="244"/>
      <c r="F171" s="244"/>
      <c r="G171" s="115" t="s">
        <v>34</v>
      </c>
      <c r="H171" s="93"/>
      <c r="I171" s="114" t="s">
        <v>39</v>
      </c>
      <c r="J171" s="244"/>
      <c r="K171" s="244"/>
      <c r="L171" s="115" t="s">
        <v>34</v>
      </c>
      <c r="S171" s="38">
        <v>2</v>
      </c>
      <c r="T171" s="38" t="str">
        <f>IF($O$157&lt;=10100," ",IF($O$157&lt;20101,$W$157,IF($O$157&lt;=20212,$W$153,IF($O$157&lt;=20222," ",IF($O$157&lt;30101,$W$157,IF($O$157&lt;=30212,$W$153,IF($O$157&lt;=30222," ",IF($O$157&lt;=62000,$T$159,(IF($O$157&lt;=70100," ",$T$165))))))))))</f>
        <v xml:space="preserve"> </v>
      </c>
      <c r="AL171" s="237"/>
      <c r="AM171" s="241" t="s">
        <v>155</v>
      </c>
      <c r="AN171" s="100">
        <v>1</v>
      </c>
      <c r="AO171" s="100">
        <v>520001</v>
      </c>
      <c r="AP171" s="112">
        <v>2</v>
      </c>
      <c r="AQ171" s="112">
        <v>7500</v>
      </c>
      <c r="AR171" s="113"/>
      <c r="AS171" s="113"/>
      <c r="AT171" s="112">
        <v>270</v>
      </c>
      <c r="AU171" s="112">
        <v>12</v>
      </c>
      <c r="AV171" s="94"/>
      <c r="AW171" s="94"/>
      <c r="AX171" s="94"/>
      <c r="AY171" s="94"/>
      <c r="AZ171" s="94"/>
      <c r="BB171" s="95"/>
      <c r="BE171" s="95"/>
    </row>
    <row r="172" spans="2:57" hidden="1">
      <c r="H172" s="93"/>
      <c r="S172" s="38">
        <v>3</v>
      </c>
      <c r="T172" s="38" t="str">
        <f>IF($O$157&lt;=10100," ",IF($O$157&lt;20101,$W$158,IF($O$157&lt;=20222," ",IF($O$157&lt;30101,$W$158,IF($O$157&lt;=30222," ",IF($O$157&lt;=40000,$T$160,IF($O$157&lt;=62000,$T$162," ")))))))</f>
        <v xml:space="preserve"> </v>
      </c>
      <c r="AL172" s="237"/>
      <c r="AM172" s="228"/>
      <c r="AN172" s="100">
        <v>2</v>
      </c>
      <c r="AO172" s="100">
        <v>520002</v>
      </c>
      <c r="AP172" s="112">
        <v>2</v>
      </c>
      <c r="AQ172" s="112">
        <v>3700</v>
      </c>
      <c r="AR172" s="113"/>
      <c r="AS172" s="113"/>
      <c r="AT172" s="112">
        <v>270</v>
      </c>
      <c r="AU172" s="112">
        <v>14.5</v>
      </c>
      <c r="AV172" s="94"/>
      <c r="AW172" s="94"/>
      <c r="AX172" s="94"/>
      <c r="AY172" s="94"/>
      <c r="AZ172" s="94"/>
      <c r="BB172" s="95"/>
      <c r="BE172" s="95"/>
    </row>
    <row r="173" spans="2:57" hidden="1">
      <c r="B173" s="242" t="s">
        <v>141</v>
      </c>
      <c r="C173" s="242"/>
      <c r="D173" s="242"/>
      <c r="E173" s="242"/>
      <c r="F173" s="242"/>
      <c r="G173" s="242"/>
      <c r="H173" s="93"/>
      <c r="I173" s="242" t="s">
        <v>141</v>
      </c>
      <c r="J173" s="242"/>
      <c r="K173" s="242"/>
      <c r="L173" s="242"/>
      <c r="S173" s="38">
        <v>4</v>
      </c>
      <c r="T173" s="38" t="str">
        <f>IF($O$157&lt;=30222," ",IF($O$157&lt;=40000,$T$161,IF($O$157&lt;=62000,$T$163,IF($O$157&lt;=20222," ",IF($O$157=60000,$W$154," ")))))</f>
        <v xml:space="preserve"> </v>
      </c>
      <c r="AL173" s="237"/>
      <c r="AM173" s="228"/>
      <c r="AN173" s="100">
        <v>3</v>
      </c>
      <c r="AO173" s="100">
        <v>520003</v>
      </c>
      <c r="AP173" s="112">
        <v>2</v>
      </c>
      <c r="AQ173" s="112">
        <v>1920</v>
      </c>
      <c r="AR173" s="113"/>
      <c r="AS173" s="113"/>
      <c r="AT173" s="112">
        <v>270</v>
      </c>
      <c r="AU173" s="112">
        <v>14.5</v>
      </c>
      <c r="AV173" s="94"/>
      <c r="AW173" s="94"/>
      <c r="AX173" s="94"/>
      <c r="AY173" s="94"/>
      <c r="AZ173" s="94"/>
      <c r="BB173" s="95"/>
      <c r="BE173" s="95"/>
    </row>
    <row r="174" spans="2:57" ht="19.5" hidden="1" thickBot="1">
      <c r="B174" s="119" t="s">
        <v>368</v>
      </c>
      <c r="C174" s="119"/>
      <c r="D174" s="119"/>
      <c r="E174" s="114" t="s">
        <v>37</v>
      </c>
      <c r="F174" s="41"/>
      <c r="G174" s="115" t="s">
        <v>34</v>
      </c>
      <c r="H174" s="93"/>
      <c r="I174" s="119" t="s">
        <v>368</v>
      </c>
      <c r="J174" s="114" t="s">
        <v>37</v>
      </c>
      <c r="K174" s="41"/>
      <c r="L174" s="115" t="s">
        <v>34</v>
      </c>
      <c r="AL174" s="238"/>
      <c r="AM174" s="229"/>
      <c r="AN174" s="105">
        <v>4</v>
      </c>
      <c r="AO174" s="105">
        <v>520004</v>
      </c>
      <c r="AP174" s="106">
        <v>2</v>
      </c>
      <c r="AQ174" s="106">
        <v>1280</v>
      </c>
      <c r="AR174" s="107"/>
      <c r="AS174" s="107"/>
      <c r="AT174" s="106">
        <v>360</v>
      </c>
      <c r="AU174" s="106">
        <v>15</v>
      </c>
      <c r="AV174" s="94"/>
      <c r="AW174" s="94"/>
      <c r="AX174" s="94"/>
      <c r="AY174" s="94"/>
      <c r="AZ174" s="94"/>
      <c r="BB174" s="95"/>
      <c r="BE174" s="95"/>
    </row>
    <row r="175" spans="2:57" ht="18.75" hidden="1">
      <c r="B175" s="119" t="s">
        <v>369</v>
      </c>
      <c r="C175" s="119"/>
      <c r="D175" s="119"/>
      <c r="E175" s="114" t="s">
        <v>37</v>
      </c>
      <c r="F175" s="41"/>
      <c r="G175" s="115" t="s">
        <v>34</v>
      </c>
      <c r="H175" s="93"/>
      <c r="I175" s="119" t="s">
        <v>369</v>
      </c>
      <c r="J175" s="114" t="s">
        <v>37</v>
      </c>
      <c r="K175" s="41"/>
      <c r="L175" s="115" t="s">
        <v>34</v>
      </c>
      <c r="AL175" s="236" t="s">
        <v>157</v>
      </c>
      <c r="AM175" s="227" t="s">
        <v>154</v>
      </c>
      <c r="AN175" s="109">
        <v>1</v>
      </c>
      <c r="AO175" s="109">
        <v>610001</v>
      </c>
      <c r="AP175" s="110">
        <v>1.4</v>
      </c>
      <c r="AQ175" s="110">
        <v>3360</v>
      </c>
      <c r="AR175" s="111"/>
      <c r="AS175" s="111"/>
      <c r="AT175" s="110">
        <v>190</v>
      </c>
      <c r="AU175" s="110">
        <v>8.5</v>
      </c>
      <c r="AV175" s="94"/>
      <c r="AW175" s="94"/>
      <c r="AX175" s="94"/>
      <c r="AY175" s="94"/>
      <c r="AZ175" s="94"/>
      <c r="BB175" s="95"/>
      <c r="BC175" s="108"/>
      <c r="BD175" s="108"/>
      <c r="BE175" s="95"/>
    </row>
    <row r="176" spans="2:57" hidden="1">
      <c r="B176" s="119" t="s">
        <v>4</v>
      </c>
      <c r="C176" s="119"/>
      <c r="D176" s="119"/>
      <c r="E176" s="114" t="s">
        <v>37</v>
      </c>
      <c r="F176" s="41"/>
      <c r="G176" s="115" t="s">
        <v>34</v>
      </c>
      <c r="H176" s="93"/>
      <c r="I176" s="119" t="s">
        <v>4</v>
      </c>
      <c r="J176" s="114" t="s">
        <v>37</v>
      </c>
      <c r="K176" s="41"/>
      <c r="L176" s="115" t="s">
        <v>34</v>
      </c>
      <c r="AL176" s="237"/>
      <c r="AM176" s="228"/>
      <c r="AN176" s="100">
        <v>2</v>
      </c>
      <c r="AO176" s="100">
        <v>610002</v>
      </c>
      <c r="AP176" s="112">
        <v>1.4</v>
      </c>
      <c r="AQ176" s="112">
        <v>2590</v>
      </c>
      <c r="AR176" s="113"/>
      <c r="AS176" s="113"/>
      <c r="AT176" s="112">
        <v>190</v>
      </c>
      <c r="AU176" s="112">
        <v>10.1</v>
      </c>
      <c r="AV176" s="94"/>
      <c r="AW176" s="94"/>
      <c r="AX176" s="94"/>
      <c r="AY176" s="94"/>
      <c r="AZ176" s="94"/>
      <c r="BB176" s="95"/>
      <c r="BE176" s="95"/>
    </row>
    <row r="177" spans="2:57" hidden="1">
      <c r="B177" s="119" t="s">
        <v>142</v>
      </c>
      <c r="C177" s="119"/>
      <c r="D177" s="119"/>
      <c r="E177" s="114" t="s">
        <v>37</v>
      </c>
      <c r="F177" s="41">
        <v>0</v>
      </c>
      <c r="G177" s="115" t="s">
        <v>34</v>
      </c>
      <c r="H177" s="93"/>
      <c r="I177" s="119" t="s">
        <v>142</v>
      </c>
      <c r="J177" s="114" t="s">
        <v>37</v>
      </c>
      <c r="K177" s="41"/>
      <c r="L177" s="115" t="s">
        <v>34</v>
      </c>
      <c r="AL177" s="237"/>
      <c r="AM177" s="228"/>
      <c r="AN177" s="100">
        <v>3</v>
      </c>
      <c r="AO177" s="100">
        <v>610003</v>
      </c>
      <c r="AP177" s="112">
        <v>1.4</v>
      </c>
      <c r="AQ177" s="112">
        <v>1345</v>
      </c>
      <c r="AR177" s="113"/>
      <c r="AS177" s="113"/>
      <c r="AT177" s="112">
        <v>190</v>
      </c>
      <c r="AU177" s="112">
        <v>10.1</v>
      </c>
      <c r="AV177" s="94"/>
      <c r="AW177" s="94"/>
      <c r="AX177" s="94"/>
      <c r="AY177" s="94"/>
      <c r="AZ177" s="94"/>
      <c r="BB177" s="95"/>
      <c r="BE177" s="95"/>
    </row>
    <row r="178" spans="2:57" hidden="1">
      <c r="H178" s="93"/>
      <c r="S178" s="38" t="s">
        <v>45</v>
      </c>
      <c r="AL178" s="237"/>
      <c r="AM178" s="239"/>
      <c r="AN178" s="100">
        <v>4</v>
      </c>
      <c r="AO178" s="100">
        <v>610004</v>
      </c>
      <c r="AP178" s="112">
        <v>1.4</v>
      </c>
      <c r="AQ178" s="112">
        <v>900</v>
      </c>
      <c r="AR178" s="113"/>
      <c r="AS178" s="113"/>
      <c r="AT178" s="112">
        <v>225</v>
      </c>
      <c r="AU178" s="112">
        <v>10.5</v>
      </c>
      <c r="AV178" s="94"/>
      <c r="AW178" s="94"/>
      <c r="AX178" s="94"/>
      <c r="AY178" s="94"/>
      <c r="AZ178" s="94"/>
      <c r="BB178" s="95"/>
      <c r="BC178" s="108"/>
      <c r="BD178" s="108"/>
      <c r="BE178" s="95"/>
    </row>
    <row r="179" spans="2:57" ht="15" hidden="1">
      <c r="B179" s="240" t="s">
        <v>47</v>
      </c>
      <c r="C179" s="240"/>
      <c r="D179" s="240"/>
      <c r="E179" s="240"/>
      <c r="F179" s="240"/>
      <c r="G179" s="240"/>
      <c r="H179" s="93"/>
      <c r="I179" s="240" t="s">
        <v>47</v>
      </c>
      <c r="J179" s="240"/>
      <c r="K179" s="240"/>
      <c r="L179" s="240"/>
      <c r="S179" s="38">
        <v>1</v>
      </c>
      <c r="T179" s="38" t="str">
        <f>IF($Q$157&lt;=10100,$W$154,IF($Q$157&lt;20101,$W$156,IF($Q$157&lt;=20212,$W$152,IF($Q$157&lt;=20222,$W$154,IF($Q$157&lt;30101,$W$156,IF($Q$157&lt;=30212,$W$152,IF($Q$157&lt;=30222,$W$154,(IF($Q$157&lt;=62000,$T$158,(IF($Q$157&lt;=70100,$T$166,$T$164)))))))))))</f>
        <v>Cały zakres wydajności cieplnej</v>
      </c>
      <c r="AL179" s="237"/>
      <c r="AM179" s="241" t="s">
        <v>155</v>
      </c>
      <c r="AN179" s="100">
        <v>1</v>
      </c>
      <c r="AO179" s="100">
        <v>620001</v>
      </c>
      <c r="AP179" s="112">
        <v>1.4</v>
      </c>
      <c r="AQ179" s="112">
        <v>5250</v>
      </c>
      <c r="AR179" s="104"/>
      <c r="AS179" s="104"/>
      <c r="AT179" s="112">
        <v>190</v>
      </c>
      <c r="AU179" s="112">
        <v>8.5</v>
      </c>
    </row>
    <row r="180" spans="2:57" ht="18.75" hidden="1">
      <c r="B180" s="120" t="s">
        <v>370</v>
      </c>
      <c r="C180" s="120"/>
      <c r="D180" s="120"/>
      <c r="E180" s="100"/>
      <c r="G180" s="121" t="s">
        <v>42</v>
      </c>
      <c r="H180" s="93"/>
      <c r="I180" s="122" t="s">
        <v>370</v>
      </c>
      <c r="J180" s="100"/>
      <c r="K180" s="123">
        <f>IF($Q$161&lt;301001,$J$162*$J$165*$Q$180*(100-$K$174)/100,IF($Q$161&lt;=301003,"Nie oblicza się",IF($Q$161&lt;701001,$J$162*$J$165*$Q$180*(100-$K$174)/100,$J$162*$Q$180*(100-$K$174)/100)))</f>
        <v>0</v>
      </c>
      <c r="L180" s="100" t="s">
        <v>42</v>
      </c>
      <c r="O180" s="38">
        <f>VLOOKUP($O$161,$AO$143:$AU$185,2)</f>
        <v>0</v>
      </c>
      <c r="Q180" s="38">
        <f>VLOOKUP($Q$161,$AO$143:$AU$185,2)</f>
        <v>0</v>
      </c>
      <c r="S180" s="38">
        <v>2</v>
      </c>
      <c r="T180" s="38" t="str">
        <f>IF($Q$157&lt;=10100," ",IF($Q$157&lt;20101,$W$157,IF($Q$157&lt;=20212,$W$153,IF($Q$157&lt;=20222," ",IF($Q$157&lt;30101,$W$157,IF($Q$157&lt;=30212,$W$153,IF($Q$157&lt;=30222," ",IF($Q$157&lt;=62000,$T$159,(IF($Q$157&lt;=70100," ",$T$165))))))))))</f>
        <v xml:space="preserve"> </v>
      </c>
      <c r="AL180" s="237"/>
      <c r="AM180" s="228"/>
      <c r="AN180" s="100">
        <v>2</v>
      </c>
      <c r="AO180" s="100">
        <v>620002</v>
      </c>
      <c r="AP180" s="112">
        <v>1.4</v>
      </c>
      <c r="AQ180" s="112">
        <v>2590</v>
      </c>
      <c r="AR180" s="104"/>
      <c r="AS180" s="104"/>
      <c r="AT180" s="112">
        <v>190</v>
      </c>
      <c r="AU180" s="112">
        <v>10.1</v>
      </c>
    </row>
    <row r="181" spans="2:57" ht="18.75" hidden="1">
      <c r="B181" s="120" t="s">
        <v>371</v>
      </c>
      <c r="C181" s="120"/>
      <c r="D181" s="120"/>
      <c r="E181" s="100"/>
      <c r="G181" s="121" t="s">
        <v>42</v>
      </c>
      <c r="H181" s="93"/>
      <c r="I181" s="122" t="s">
        <v>371</v>
      </c>
      <c r="J181" s="100"/>
      <c r="K181" s="124">
        <f>IF($Q$161&lt;301001,$J$162*$Q$181*(100-$K$175)/100,IF($Q$161&lt;=301003,"Nie oblicza się",$J$162*$Q$181*(100-$K$175)/100))</f>
        <v>0</v>
      </c>
      <c r="L181" s="100" t="s">
        <v>42</v>
      </c>
      <c r="O181" s="38">
        <f>VLOOKUP($O$161,$AO$143:$AU$185,3)</f>
        <v>0</v>
      </c>
      <c r="Q181" s="38">
        <f>VLOOKUP($Q$161,$AO$143:$AU$185,3)</f>
        <v>0</v>
      </c>
      <c r="S181" s="38">
        <v>3</v>
      </c>
      <c r="T181" s="38" t="str">
        <f>IF($Q$157&lt;=10100," ",IF($Q$157&lt;20101,$W$158,IF($Q$157&lt;=20222," ",IF($Q$157&lt;30101,$W$158,IF($Q$157&lt;=30222," ",IF($Q$157&lt;=40000,$T$160,IF($Q$157&lt;=62000,$T$162," ")))))))</f>
        <v xml:space="preserve"> </v>
      </c>
      <c r="AL181" s="237"/>
      <c r="AM181" s="228"/>
      <c r="AN181" s="100">
        <v>3</v>
      </c>
      <c r="AO181" s="100">
        <v>620003</v>
      </c>
      <c r="AP181" s="112">
        <v>1.4</v>
      </c>
      <c r="AQ181" s="112">
        <v>1345</v>
      </c>
      <c r="AR181" s="113"/>
      <c r="AS181" s="113"/>
      <c r="AT181" s="112">
        <v>190</v>
      </c>
      <c r="AU181" s="112">
        <v>10.1</v>
      </c>
      <c r="AV181" s="94"/>
      <c r="AW181" s="94"/>
      <c r="AX181" s="94"/>
      <c r="AY181" s="94"/>
      <c r="AZ181" s="94"/>
      <c r="BA181" s="94"/>
    </row>
    <row r="182" spans="2:57" ht="19.5" hidden="1" thickBot="1">
      <c r="B182" s="120" t="s">
        <v>372</v>
      </c>
      <c r="C182" s="120"/>
      <c r="D182" s="120"/>
      <c r="E182" s="100"/>
      <c r="G182" s="121" t="s">
        <v>42</v>
      </c>
      <c r="H182" s="93"/>
      <c r="I182" s="122" t="s">
        <v>372</v>
      </c>
      <c r="J182" s="100"/>
      <c r="K182" s="124" t="s">
        <v>160</v>
      </c>
      <c r="L182" s="100" t="s">
        <v>42</v>
      </c>
      <c r="O182" s="38">
        <f>VLOOKUP($O$161,$AO$143:$AU$185,5)</f>
        <v>0</v>
      </c>
      <c r="Q182" s="38">
        <f>VLOOKUP($Q$161,$AO$143:$AU$185,5)</f>
        <v>0</v>
      </c>
      <c r="S182" s="38">
        <v>4</v>
      </c>
      <c r="T182" s="38" t="str">
        <f>IF($Q$157&lt;=30222," ",IF($Q$157&lt;=40000,$T$161,IF($Q$157&lt;=62000,$T$163,IF($Q$157&lt;=20222," ",IF($Q$157=60000,$W$154," ")))))</f>
        <v xml:space="preserve"> </v>
      </c>
      <c r="AL182" s="238"/>
      <c r="AM182" s="229"/>
      <c r="AN182" s="105">
        <v>4</v>
      </c>
      <c r="AO182" s="105">
        <v>620004</v>
      </c>
      <c r="AP182" s="106">
        <v>1.4</v>
      </c>
      <c r="AQ182" s="106">
        <v>900</v>
      </c>
      <c r="AR182" s="107"/>
      <c r="AS182" s="107"/>
      <c r="AT182" s="106">
        <v>225</v>
      </c>
      <c r="AU182" s="106">
        <v>10.5</v>
      </c>
      <c r="AV182" s="94"/>
      <c r="AW182" s="94"/>
      <c r="AX182" s="94"/>
      <c r="AY182" s="94"/>
      <c r="AZ182" s="94"/>
      <c r="BA182" s="94"/>
    </row>
    <row r="183" spans="2:57" hidden="1">
      <c r="B183" s="120" t="s">
        <v>40</v>
      </c>
      <c r="C183" s="120"/>
      <c r="D183" s="120"/>
      <c r="E183" s="100"/>
      <c r="G183" s="121" t="s">
        <v>42</v>
      </c>
      <c r="H183" s="93"/>
      <c r="I183" s="122" t="s">
        <v>40</v>
      </c>
      <c r="J183" s="100"/>
      <c r="K183" s="124">
        <f>IF($Q$161&lt;301001,$J$162*$Q$183*(100-$K$176)/100,IF($Q$161&lt;=301003,"Nie oblicza się",$J$162*$Q$183*(100-$K$176)/100))</f>
        <v>0</v>
      </c>
      <c r="L183" s="100" t="s">
        <v>42</v>
      </c>
      <c r="O183" s="38">
        <f>VLOOKUP($O$161,$AO$143:$AU$185,6)</f>
        <v>0</v>
      </c>
      <c r="Q183" s="38">
        <f>VLOOKUP($Q$161,$AO$143:$AU$185,6)</f>
        <v>0</v>
      </c>
      <c r="AM183" s="227" t="s">
        <v>158</v>
      </c>
      <c r="AN183" s="109">
        <v>1</v>
      </c>
      <c r="AO183" s="109">
        <v>701001</v>
      </c>
      <c r="AP183" s="110">
        <f>V199</f>
        <v>0.02</v>
      </c>
      <c r="AQ183" s="110">
        <f>V200</f>
        <v>0.8</v>
      </c>
      <c r="AR183" s="125"/>
      <c r="AS183" s="125">
        <f>V201</f>
        <v>0</v>
      </c>
      <c r="AT183" s="110">
        <f>V202</f>
        <v>11</v>
      </c>
      <c r="AU183" s="110">
        <f>V203</f>
        <v>2.5</v>
      </c>
      <c r="BA183" s="94"/>
    </row>
    <row r="184" spans="2:57" hidden="1">
      <c r="B184" s="230" t="s">
        <v>41</v>
      </c>
      <c r="C184" s="232"/>
      <c r="D184" s="232"/>
      <c r="E184" s="231"/>
      <c r="G184" s="121" t="s">
        <v>42</v>
      </c>
      <c r="H184" s="93"/>
      <c r="I184" s="232" t="s">
        <v>41</v>
      </c>
      <c r="J184" s="231"/>
      <c r="K184" s="124">
        <f>IF($Q$161&lt;301001,$J$162*$Q$184*$J$168*(100-$K$177)/(100-$J$171),IF($Q$161&lt;=301003,"Nie oblicza się",IF($Q$161&lt;=302221,$J$162*$Q$184*$J$168*(100-$K$177)/(100-$J$171),IF($Q$161&lt;=701001,$J$162*$Q$184*(100-$K$177)/(100-$J$171),$J$162*$Q$184*$J$168*(100-$K$177)/(100-$J$171)))))</f>
        <v>0</v>
      </c>
      <c r="L184" s="100" t="s">
        <v>42</v>
      </c>
      <c r="O184" s="38">
        <f>VLOOKUP($O$161,$AO$143:$AU$185,7)</f>
        <v>0</v>
      </c>
      <c r="Q184" s="38">
        <f>VLOOKUP($Q$161,$AO$143:$AU$185,7)</f>
        <v>0</v>
      </c>
      <c r="AM184" s="228"/>
      <c r="AN184" s="100">
        <v>2</v>
      </c>
      <c r="AO184" s="100">
        <v>702001</v>
      </c>
      <c r="AP184" s="112">
        <f>S199</f>
        <v>0.11</v>
      </c>
      <c r="AQ184" s="112">
        <f>S200</f>
        <v>1</v>
      </c>
      <c r="AR184" s="113"/>
      <c r="AS184" s="113">
        <f>S201</f>
        <v>0</v>
      </c>
      <c r="AT184" s="112">
        <f>S202</f>
        <v>26</v>
      </c>
      <c r="AU184" s="112">
        <f>S203</f>
        <v>1.5</v>
      </c>
      <c r="AV184" s="94"/>
      <c r="AW184" s="94"/>
      <c r="AX184" s="94"/>
      <c r="AY184" s="94"/>
      <c r="AZ184" s="94"/>
      <c r="BA184" s="94"/>
    </row>
    <row r="185" spans="2:57" ht="15" hidden="1" thickBot="1">
      <c r="H185" s="93"/>
      <c r="AM185" s="229"/>
      <c r="AN185" s="105">
        <v>3</v>
      </c>
      <c r="AO185" s="105">
        <v>702002</v>
      </c>
      <c r="AP185" s="106">
        <f>U199</f>
        <v>0.11</v>
      </c>
      <c r="AQ185" s="106">
        <f>U200</f>
        <v>0.95</v>
      </c>
      <c r="AR185" s="107"/>
      <c r="AS185" s="107">
        <f>U201</f>
        <v>0</v>
      </c>
      <c r="AT185" s="106">
        <f>U202</f>
        <v>16</v>
      </c>
      <c r="AU185" s="106">
        <f>U203</f>
        <v>1.5</v>
      </c>
      <c r="BA185" s="94"/>
    </row>
    <row r="186" spans="2:57" ht="15" hidden="1">
      <c r="B186" s="233" t="s">
        <v>46</v>
      </c>
      <c r="C186" s="234"/>
      <c r="D186" s="234"/>
      <c r="E186" s="234"/>
      <c r="F186" s="234"/>
      <c r="G186" s="234"/>
      <c r="H186" s="234"/>
      <c r="I186" s="234"/>
      <c r="J186" s="234"/>
      <c r="K186" s="234"/>
      <c r="L186" s="235"/>
      <c r="AP186" s="94"/>
      <c r="AQ186" s="94"/>
      <c r="AR186" s="94"/>
      <c r="AS186" s="94"/>
      <c r="AT186" s="94"/>
      <c r="AU186" s="94"/>
      <c r="AV186" s="94"/>
      <c r="AW186" s="94"/>
      <c r="AX186" s="94"/>
      <c r="AY186" s="94"/>
      <c r="AZ186" s="94"/>
    </row>
    <row r="187" spans="2:57" ht="18.75" hidden="1">
      <c r="B187" s="127"/>
      <c r="C187" s="127"/>
      <c r="D187" s="127"/>
      <c r="E187" s="120" t="s">
        <v>370</v>
      </c>
      <c r="F187" s="100"/>
      <c r="H187" s="100" t="s">
        <v>42</v>
      </c>
      <c r="L187" s="128"/>
      <c r="AP187" s="101" t="s">
        <v>365</v>
      </c>
      <c r="AQ187" s="101" t="s">
        <v>366</v>
      </c>
      <c r="AR187" s="102" t="s">
        <v>366</v>
      </c>
      <c r="AS187" s="101" t="s">
        <v>367</v>
      </c>
      <c r="AT187" s="101" t="s">
        <v>4</v>
      </c>
      <c r="AU187" s="101" t="s">
        <v>5</v>
      </c>
      <c r="AV187" s="94"/>
      <c r="AW187" s="94"/>
      <c r="AX187" s="94"/>
      <c r="AY187" s="94"/>
      <c r="AZ187" s="94"/>
    </row>
    <row r="188" spans="2:57" ht="18.75" hidden="1">
      <c r="B188" s="127"/>
      <c r="C188" s="127"/>
      <c r="D188" s="127"/>
      <c r="E188" s="120" t="s">
        <v>371</v>
      </c>
      <c r="F188" s="100"/>
      <c r="H188" s="100" t="s">
        <v>42</v>
      </c>
      <c r="L188" s="128"/>
      <c r="AP188" s="94"/>
      <c r="AQ188" s="94"/>
      <c r="AR188" s="94"/>
      <c r="AS188" s="94"/>
      <c r="AT188" s="94"/>
      <c r="AU188" s="94"/>
    </row>
    <row r="189" spans="2:57" ht="18.75" hidden="1">
      <c r="B189" s="127"/>
      <c r="C189" s="127"/>
      <c r="D189" s="127"/>
      <c r="E189" s="120" t="s">
        <v>372</v>
      </c>
      <c r="F189" s="100"/>
      <c r="H189" s="100" t="s">
        <v>42</v>
      </c>
      <c r="L189" s="128"/>
      <c r="AP189" s="94"/>
      <c r="AQ189" s="94"/>
      <c r="AR189" s="94"/>
      <c r="AS189" s="94"/>
      <c r="AT189" s="94"/>
      <c r="AU189" s="94"/>
    </row>
    <row r="190" spans="2:57" hidden="1">
      <c r="B190" s="127"/>
      <c r="C190" s="127"/>
      <c r="D190" s="127"/>
      <c r="E190" s="120" t="s">
        <v>40</v>
      </c>
      <c r="F190" s="100"/>
      <c r="H190" s="100" t="s">
        <v>42</v>
      </c>
      <c r="L190" s="128"/>
      <c r="AP190" s="94"/>
      <c r="AQ190" s="94"/>
      <c r="AR190" s="94"/>
      <c r="AS190" s="94"/>
      <c r="AT190" s="94"/>
      <c r="AU190" s="94"/>
    </row>
    <row r="191" spans="2:57" hidden="1">
      <c r="B191" s="127"/>
      <c r="C191" s="127"/>
      <c r="D191" s="127"/>
      <c r="E191" s="230" t="s">
        <v>41</v>
      </c>
      <c r="F191" s="231"/>
      <c r="H191" s="100" t="s">
        <v>42</v>
      </c>
      <c r="L191" s="128"/>
      <c r="AP191" s="94"/>
      <c r="AQ191" s="94"/>
      <c r="AR191" s="94"/>
      <c r="AS191" s="94"/>
      <c r="AT191" s="94"/>
      <c r="AU191" s="94"/>
    </row>
    <row r="192" spans="2:57" hidden="1">
      <c r="B192" s="129"/>
      <c r="C192" s="130"/>
      <c r="D192" s="130"/>
      <c r="E192" s="130"/>
      <c r="F192" s="130"/>
      <c r="G192" s="130"/>
      <c r="H192" s="130"/>
      <c r="I192" s="130"/>
      <c r="J192" s="130"/>
      <c r="K192" s="130"/>
      <c r="L192" s="131"/>
      <c r="AP192" s="94"/>
      <c r="AQ192" s="94"/>
      <c r="AR192" s="94"/>
      <c r="AS192" s="94"/>
      <c r="AT192" s="94"/>
      <c r="AU192" s="94"/>
    </row>
    <row r="193" spans="2:47" hidden="1">
      <c r="AP193" s="94"/>
      <c r="AQ193" s="94"/>
      <c r="AR193" s="94"/>
      <c r="AS193" s="94"/>
      <c r="AT193" s="94"/>
      <c r="AU193" s="94"/>
    </row>
    <row r="194" spans="2:47" hidden="1">
      <c r="AP194" s="94"/>
      <c r="AQ194" s="94"/>
      <c r="AR194" s="94"/>
      <c r="AS194" s="94"/>
      <c r="AT194" s="94"/>
      <c r="AU194" s="94"/>
    </row>
    <row r="195" spans="2:47" hidden="1">
      <c r="B195" s="226" t="s">
        <v>177</v>
      </c>
      <c r="C195" s="226"/>
      <c r="D195" s="226"/>
      <c r="E195" s="226"/>
      <c r="F195" s="226"/>
      <c r="G195" s="226"/>
      <c r="AP195" s="94"/>
      <c r="AQ195" s="94"/>
      <c r="AR195" s="94"/>
      <c r="AS195" s="94"/>
      <c r="AT195" s="94"/>
      <c r="AU195" s="94"/>
    </row>
    <row r="196" spans="2:47" ht="15" hidden="1">
      <c r="B196" s="226"/>
      <c r="C196" s="226"/>
      <c r="D196" s="226"/>
      <c r="E196" s="226"/>
      <c r="F196" s="226"/>
      <c r="G196" s="226"/>
      <c r="Q196" s="71" t="s">
        <v>161</v>
      </c>
      <c r="AP196" s="94"/>
      <c r="AQ196" s="94"/>
      <c r="AR196" s="94"/>
      <c r="AS196" s="94"/>
      <c r="AT196" s="94"/>
      <c r="AU196" s="94"/>
    </row>
    <row r="197" spans="2:47" ht="15" hidden="1">
      <c r="Q197" s="71"/>
      <c r="S197" s="225" t="s">
        <v>6</v>
      </c>
      <c r="T197" s="225"/>
      <c r="U197" s="225"/>
      <c r="V197" s="225" t="s">
        <v>3</v>
      </c>
      <c r="W197" s="225"/>
      <c r="X197" s="225"/>
      <c r="AP197" s="94"/>
      <c r="AQ197" s="94"/>
      <c r="AR197" s="94"/>
      <c r="AS197" s="94"/>
      <c r="AT197" s="94"/>
      <c r="AU197" s="94"/>
    </row>
    <row r="198" spans="2:47" ht="15" hidden="1">
      <c r="B198" s="226" t="s">
        <v>178</v>
      </c>
      <c r="C198" s="226"/>
      <c r="D198" s="226"/>
      <c r="E198" s="226"/>
      <c r="F198" s="226"/>
      <c r="G198" s="226"/>
      <c r="Q198" s="71"/>
      <c r="S198" s="100" t="s">
        <v>162</v>
      </c>
      <c r="T198" s="100"/>
      <c r="U198" s="100" t="s">
        <v>163</v>
      </c>
      <c r="V198" s="225" t="s">
        <v>267</v>
      </c>
      <c r="W198" s="225"/>
      <c r="X198" s="225"/>
      <c r="AP198" s="94"/>
      <c r="AQ198" s="94"/>
      <c r="AR198" s="94"/>
      <c r="AS198" s="94"/>
      <c r="AT198" s="94"/>
      <c r="AU198" s="94"/>
    </row>
    <row r="199" spans="2:47" ht="18.75" hidden="1">
      <c r="B199" s="226"/>
      <c r="C199" s="226"/>
      <c r="D199" s="226"/>
      <c r="E199" s="226"/>
      <c r="F199" s="226"/>
      <c r="G199" s="226"/>
      <c r="Q199" s="120" t="s">
        <v>370</v>
      </c>
      <c r="R199" s="100"/>
      <c r="S199" s="116">
        <v>0.11</v>
      </c>
      <c r="T199" s="116"/>
      <c r="U199" s="116">
        <v>0.11</v>
      </c>
      <c r="V199" s="217">
        <v>0.02</v>
      </c>
      <c r="W199" s="218"/>
      <c r="X199" s="219"/>
      <c r="AP199" s="94"/>
      <c r="AQ199" s="94"/>
      <c r="AS199" s="94"/>
      <c r="AT199" s="94"/>
      <c r="AU199" s="94"/>
    </row>
    <row r="200" spans="2:47" ht="18.75" hidden="1">
      <c r="Q200" s="120" t="s">
        <v>371</v>
      </c>
      <c r="R200" s="100"/>
      <c r="S200" s="100">
        <v>1</v>
      </c>
      <c r="T200" s="100"/>
      <c r="U200" s="100">
        <v>0.95</v>
      </c>
      <c r="V200" s="217">
        <v>0.8</v>
      </c>
      <c r="W200" s="218"/>
      <c r="X200" s="219"/>
      <c r="AP200" s="94"/>
      <c r="AQ200" s="94"/>
      <c r="AR200" s="94"/>
      <c r="AS200" s="94"/>
      <c r="AT200" s="94"/>
      <c r="AU200" s="94"/>
    </row>
    <row r="201" spans="2:47" ht="18.75" hidden="1">
      <c r="B201" s="226" t="s">
        <v>179</v>
      </c>
      <c r="C201" s="226"/>
      <c r="D201" s="226"/>
      <c r="E201" s="226"/>
      <c r="Q201" s="120" t="s">
        <v>372</v>
      </c>
      <c r="R201" s="100"/>
      <c r="S201" s="100">
        <v>0</v>
      </c>
      <c r="T201" s="100"/>
      <c r="U201" s="100">
        <v>0</v>
      </c>
      <c r="V201" s="217">
        <v>0</v>
      </c>
      <c r="W201" s="218"/>
      <c r="X201" s="219"/>
      <c r="AP201" s="94"/>
      <c r="AQ201" s="94"/>
      <c r="AR201" s="94"/>
      <c r="AS201" s="94"/>
      <c r="AT201" s="94"/>
      <c r="AU201" s="94"/>
    </row>
    <row r="202" spans="2:47" hidden="1">
      <c r="B202" s="226"/>
      <c r="C202" s="226"/>
      <c r="D202" s="226"/>
      <c r="E202" s="226"/>
      <c r="F202" s="226"/>
      <c r="G202" s="226"/>
      <c r="Q202" s="120" t="s">
        <v>40</v>
      </c>
      <c r="R202" s="100"/>
      <c r="S202" s="100">
        <v>26</v>
      </c>
      <c r="T202" s="100"/>
      <c r="U202" s="100">
        <v>16</v>
      </c>
      <c r="V202" s="217">
        <v>11</v>
      </c>
      <c r="W202" s="218"/>
      <c r="X202" s="219"/>
      <c r="AP202" s="94"/>
      <c r="AQ202" s="94"/>
      <c r="AR202" s="94"/>
      <c r="AS202" s="94"/>
      <c r="AT202" s="94"/>
      <c r="AU202" s="94"/>
    </row>
    <row r="203" spans="2:47" hidden="1">
      <c r="Q203" s="215" t="s">
        <v>41</v>
      </c>
      <c r="R203" s="216"/>
      <c r="S203" s="100">
        <v>1.5</v>
      </c>
      <c r="T203" s="100"/>
      <c r="U203" s="100">
        <v>1.5</v>
      </c>
      <c r="V203" s="217">
        <v>2.5</v>
      </c>
      <c r="W203" s="218"/>
      <c r="X203" s="219"/>
      <c r="AP203" s="94"/>
      <c r="AQ203" s="94"/>
      <c r="AR203" s="94"/>
      <c r="AS203" s="94"/>
      <c r="AT203" s="94"/>
      <c r="AU203" s="94"/>
    </row>
    <row r="204" spans="2:47" ht="15" hidden="1">
      <c r="Q204" s="71" t="s">
        <v>126</v>
      </c>
      <c r="AP204" s="94"/>
      <c r="AQ204" s="94"/>
      <c r="AR204" s="94"/>
      <c r="AS204" s="94"/>
      <c r="AT204" s="94"/>
      <c r="AU204" s="94"/>
    </row>
    <row r="205" spans="2:47" hidden="1">
      <c r="AP205" s="94"/>
      <c r="AQ205" s="94"/>
      <c r="AR205" s="94"/>
      <c r="AS205" s="94"/>
      <c r="AT205" s="94"/>
      <c r="AU205" s="94"/>
    </row>
    <row r="206" spans="2:47" ht="15" hidden="1">
      <c r="Q206" s="71"/>
      <c r="S206" s="225" t="s">
        <v>6</v>
      </c>
      <c r="T206" s="225"/>
      <c r="U206" s="225"/>
      <c r="V206" s="225" t="s">
        <v>3</v>
      </c>
      <c r="W206" s="225"/>
      <c r="X206" s="225"/>
      <c r="AP206" s="94"/>
      <c r="AQ206" s="94"/>
      <c r="AR206" s="94"/>
      <c r="AS206" s="94"/>
      <c r="AT206" s="94"/>
      <c r="AU206" s="94"/>
    </row>
    <row r="207" spans="2:47" ht="15" hidden="1">
      <c r="Q207" s="71"/>
      <c r="S207" s="100" t="s">
        <v>162</v>
      </c>
      <c r="T207" s="100"/>
      <c r="U207" s="100" t="s">
        <v>163</v>
      </c>
      <c r="V207" s="225" t="s">
        <v>267</v>
      </c>
      <c r="W207" s="225"/>
      <c r="X207" s="225"/>
      <c r="AP207" s="94"/>
      <c r="AQ207" s="94"/>
      <c r="AR207" s="94"/>
      <c r="AS207" s="94"/>
      <c r="AT207" s="94"/>
      <c r="AU207" s="94"/>
    </row>
    <row r="208" spans="2:47" ht="18.75" hidden="1">
      <c r="Q208" s="120" t="s">
        <v>370</v>
      </c>
      <c r="R208" s="100"/>
      <c r="S208" s="116">
        <v>0.11</v>
      </c>
      <c r="T208" s="116"/>
      <c r="U208" s="116">
        <v>0.11</v>
      </c>
      <c r="V208" s="217">
        <v>0.02</v>
      </c>
      <c r="W208" s="218"/>
      <c r="X208" s="219"/>
      <c r="AP208" s="94"/>
      <c r="AQ208" s="94"/>
      <c r="AR208" s="94"/>
      <c r="AS208" s="94"/>
      <c r="AT208" s="94"/>
      <c r="AU208" s="94"/>
    </row>
    <row r="209" spans="17:47" ht="18.75" hidden="1">
      <c r="Q209" s="120" t="s">
        <v>371</v>
      </c>
      <c r="R209" s="100"/>
      <c r="S209" s="100">
        <v>1</v>
      </c>
      <c r="T209" s="100"/>
      <c r="U209" s="100">
        <v>0.95</v>
      </c>
      <c r="V209" s="217">
        <v>0.8</v>
      </c>
      <c r="W209" s="218"/>
      <c r="X209" s="219"/>
      <c r="AP209" s="94"/>
      <c r="AQ209" s="94"/>
      <c r="AR209" s="94"/>
      <c r="AS209" s="94"/>
      <c r="AT209" s="94"/>
      <c r="AU209" s="94"/>
    </row>
    <row r="210" spans="17:47" ht="18.75" hidden="1">
      <c r="Q210" s="120" t="s">
        <v>372</v>
      </c>
      <c r="R210" s="100"/>
      <c r="S210" s="100">
        <v>0</v>
      </c>
      <c r="T210" s="100"/>
      <c r="U210" s="100">
        <v>0</v>
      </c>
      <c r="V210" s="217">
        <v>0</v>
      </c>
      <c r="W210" s="218"/>
      <c r="X210" s="219"/>
      <c r="AP210" s="94"/>
      <c r="AQ210" s="94"/>
      <c r="AR210" s="94"/>
      <c r="AS210" s="94"/>
      <c r="AT210" s="94"/>
      <c r="AU210" s="94"/>
    </row>
    <row r="211" spans="17:47" hidden="1">
      <c r="Q211" s="120" t="s">
        <v>40</v>
      </c>
      <c r="R211" s="100"/>
      <c r="S211" s="100">
        <v>26</v>
      </c>
      <c r="T211" s="100"/>
      <c r="U211" s="100">
        <v>16</v>
      </c>
      <c r="V211" s="217">
        <v>11</v>
      </c>
      <c r="W211" s="218"/>
      <c r="X211" s="219"/>
      <c r="AP211" s="94"/>
      <c r="AQ211" s="94"/>
      <c r="AR211" s="94"/>
      <c r="AS211" s="94"/>
      <c r="AT211" s="94"/>
      <c r="AU211" s="94"/>
    </row>
    <row r="212" spans="17:47" hidden="1">
      <c r="Q212" s="215" t="s">
        <v>41</v>
      </c>
      <c r="R212" s="216"/>
      <c r="S212" s="100">
        <v>1.5</v>
      </c>
      <c r="T212" s="100"/>
      <c r="U212" s="100">
        <v>1.5</v>
      </c>
      <c r="V212" s="217">
        <v>2.5</v>
      </c>
      <c r="W212" s="218"/>
      <c r="X212" s="219"/>
      <c r="AP212" s="94"/>
      <c r="AQ212" s="94"/>
      <c r="AR212" s="94"/>
      <c r="AS212" s="94"/>
      <c r="AT212" s="94"/>
      <c r="AU212" s="94"/>
    </row>
    <row r="213" spans="17:47" hidden="1">
      <c r="AP213" s="94"/>
      <c r="AQ213" s="94"/>
      <c r="AR213" s="94"/>
      <c r="AS213" s="94"/>
      <c r="AT213" s="94"/>
      <c r="AU213" s="94"/>
    </row>
    <row r="214" spans="17:47" hidden="1">
      <c r="AP214" s="94"/>
      <c r="AQ214" s="94"/>
      <c r="AR214" s="94"/>
      <c r="AS214" s="94"/>
      <c r="AT214" s="94"/>
      <c r="AU214" s="94"/>
    </row>
    <row r="215" spans="17:47" hidden="1">
      <c r="AP215" s="94"/>
      <c r="AQ215" s="94"/>
      <c r="AR215" s="94"/>
      <c r="AS215" s="94"/>
      <c r="AT215" s="94"/>
      <c r="AU215" s="94"/>
    </row>
    <row r="216" spans="17:47" hidden="1">
      <c r="AP216" s="94"/>
      <c r="AQ216" s="94"/>
      <c r="AR216" s="94"/>
      <c r="AS216" s="94"/>
      <c r="AT216" s="94"/>
      <c r="AU216" s="94"/>
    </row>
    <row r="217" spans="17:47" hidden="1">
      <c r="AP217" s="94"/>
      <c r="AQ217" s="94"/>
      <c r="AR217" s="94"/>
      <c r="AS217" s="94"/>
      <c r="AT217" s="94"/>
      <c r="AU217" s="94"/>
    </row>
    <row r="218" spans="17:47" hidden="1">
      <c r="AP218" s="94"/>
      <c r="AQ218" s="94"/>
      <c r="AR218" s="94"/>
      <c r="AS218" s="94"/>
      <c r="AT218" s="94"/>
      <c r="AU218" s="94"/>
    </row>
    <row r="219" spans="17:47" hidden="1"/>
    <row r="220" spans="17:47" hidden="1"/>
    <row r="221" spans="17:47" hidden="1"/>
    <row r="222" spans="17:47" hidden="1"/>
    <row r="223" spans="17:47" hidden="1"/>
    <row r="224" spans="17:47" hidden="1"/>
    <row r="225" spans="1:27" hidden="1"/>
    <row r="226" spans="1:27" hidden="1"/>
    <row r="227" spans="1:27" hidden="1"/>
    <row r="228" spans="1:27" ht="14.25" hidden="1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220" t="s">
        <v>118</v>
      </c>
      <c r="K228" s="220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</row>
    <row r="229" spans="1:27" ht="15" hidden="1">
      <c r="A229" s="39"/>
      <c r="B229" s="39"/>
      <c r="C229" s="39"/>
      <c r="D229" s="39"/>
      <c r="E229" s="39"/>
      <c r="F229" s="39"/>
      <c r="G229" s="39"/>
      <c r="H229" s="39"/>
      <c r="I229" s="39"/>
      <c r="J229" s="45" t="s">
        <v>119</v>
      </c>
      <c r="K229" s="45" t="s">
        <v>120</v>
      </c>
      <c r="L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 t="s">
        <v>202</v>
      </c>
      <c r="X229" s="39" t="s">
        <v>202</v>
      </c>
      <c r="Y229" s="39" t="s">
        <v>203</v>
      </c>
      <c r="Z229" s="39"/>
      <c r="AA229" s="39"/>
    </row>
    <row r="230" spans="1:27" ht="16.5" hidden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8" t="s">
        <v>80</v>
      </c>
      <c r="X230" s="38" t="s">
        <v>373</v>
      </c>
      <c r="Y230" s="38" t="s">
        <v>76</v>
      </c>
      <c r="Z230" s="39"/>
      <c r="AA230" s="39"/>
    </row>
    <row r="231" spans="1:27" hidden="1">
      <c r="A231" s="94">
        <v>1</v>
      </c>
      <c r="B231" s="95" t="s">
        <v>117</v>
      </c>
      <c r="C231" s="95"/>
      <c r="D231" s="95"/>
      <c r="F231" s="39"/>
      <c r="G231" s="132" t="s">
        <v>204</v>
      </c>
      <c r="H231" s="39"/>
      <c r="I231" s="39"/>
      <c r="J231" s="39" t="s">
        <v>279</v>
      </c>
      <c r="K231" s="39" t="s">
        <v>279</v>
      </c>
      <c r="L231" s="39"/>
      <c r="M231" s="39"/>
      <c r="N231" s="39"/>
      <c r="O231" s="39"/>
      <c r="P231" s="39"/>
      <c r="Q231" s="39"/>
      <c r="R231" s="39"/>
      <c r="S231" s="39"/>
      <c r="T231" s="39"/>
      <c r="U231" s="39">
        <v>100</v>
      </c>
      <c r="V231" s="39" t="s">
        <v>122</v>
      </c>
      <c r="W231" s="39">
        <v>0</v>
      </c>
      <c r="X231" s="39">
        <v>0</v>
      </c>
      <c r="Y231" s="39">
        <v>0</v>
      </c>
      <c r="Z231" s="39"/>
      <c r="AA231" s="39"/>
    </row>
    <row r="232" spans="1:27" hidden="1">
      <c r="A232" s="94">
        <v>2</v>
      </c>
      <c r="B232" s="95" t="s">
        <v>144</v>
      </c>
      <c r="C232" s="95"/>
      <c r="D232" s="95"/>
      <c r="F232" s="39"/>
      <c r="G232" s="133">
        <v>860</v>
      </c>
      <c r="H232" s="39"/>
      <c r="I232" s="39"/>
      <c r="J232" s="53" t="s">
        <v>108</v>
      </c>
      <c r="K232" s="134">
        <v>1</v>
      </c>
      <c r="L232" s="39">
        <v>0</v>
      </c>
      <c r="M232" s="135" t="s">
        <v>107</v>
      </c>
      <c r="N232" s="39"/>
      <c r="O232" s="135" t="s">
        <v>106</v>
      </c>
      <c r="P232" s="39"/>
      <c r="Q232" s="53" t="s">
        <v>50</v>
      </c>
      <c r="R232" s="39"/>
      <c r="S232" s="39">
        <v>1</v>
      </c>
      <c r="T232" s="39"/>
      <c r="U232" s="120"/>
      <c r="V232" s="53"/>
      <c r="W232" s="54"/>
      <c r="X232" s="54"/>
      <c r="Y232" s="54"/>
      <c r="Z232" s="39"/>
      <c r="AA232" s="39"/>
    </row>
    <row r="233" spans="1:27" hidden="1">
      <c r="A233" s="94">
        <v>3</v>
      </c>
      <c r="B233" s="95" t="s">
        <v>15</v>
      </c>
      <c r="C233" s="95"/>
      <c r="D233" s="95"/>
      <c r="F233" s="39"/>
      <c r="G233" s="39"/>
      <c r="H233" s="39"/>
      <c r="I233" s="39"/>
      <c r="J233" s="53" t="s">
        <v>105</v>
      </c>
      <c r="K233" s="134">
        <v>2</v>
      </c>
      <c r="L233" s="39">
        <v>0</v>
      </c>
      <c r="M233" s="135" t="s">
        <v>104</v>
      </c>
      <c r="N233" s="39"/>
      <c r="O233" s="135" t="s">
        <v>103</v>
      </c>
      <c r="P233" s="39"/>
      <c r="Q233" s="53" t="s">
        <v>49</v>
      </c>
      <c r="R233" s="39"/>
      <c r="S233" s="39">
        <v>2</v>
      </c>
      <c r="T233" s="39"/>
      <c r="U233" s="120"/>
      <c r="V233" s="53"/>
      <c r="W233" s="54"/>
      <c r="X233" s="54"/>
      <c r="Y233" s="54"/>
      <c r="Z233" s="39"/>
      <c r="AA233" s="39"/>
    </row>
    <row r="234" spans="1:27" hidden="1">
      <c r="A234" s="94">
        <v>4</v>
      </c>
      <c r="B234" s="95" t="s">
        <v>145</v>
      </c>
      <c r="C234" s="95"/>
      <c r="D234" s="95"/>
      <c r="F234" s="39"/>
      <c r="G234" s="39"/>
      <c r="H234" s="39"/>
      <c r="I234" s="39"/>
      <c r="J234" s="53" t="s">
        <v>102</v>
      </c>
      <c r="K234" s="134">
        <v>3</v>
      </c>
      <c r="L234" s="39"/>
      <c r="M234" s="135" t="s">
        <v>101</v>
      </c>
      <c r="N234" s="39"/>
      <c r="O234" s="135" t="s">
        <v>100</v>
      </c>
      <c r="P234" s="39"/>
      <c r="Q234" s="53" t="s">
        <v>82</v>
      </c>
      <c r="R234" s="39"/>
      <c r="S234" s="39">
        <v>1</v>
      </c>
      <c r="T234" s="39"/>
      <c r="U234" s="120"/>
      <c r="V234" s="53"/>
      <c r="W234" s="54"/>
      <c r="X234" s="54"/>
      <c r="Y234" s="54"/>
      <c r="Z234" s="39"/>
      <c r="AA234" s="39"/>
    </row>
    <row r="235" spans="1:27" hidden="1">
      <c r="A235" s="94">
        <v>5</v>
      </c>
      <c r="B235" s="95" t="s">
        <v>149</v>
      </c>
      <c r="C235" s="95"/>
      <c r="D235" s="95"/>
      <c r="F235" s="39"/>
      <c r="G235" s="39"/>
      <c r="H235" s="39"/>
      <c r="I235" s="39"/>
      <c r="J235" s="53" t="s">
        <v>99</v>
      </c>
      <c r="K235" s="134">
        <v>4</v>
      </c>
      <c r="L235" s="39"/>
      <c r="M235" s="135" t="s">
        <v>98</v>
      </c>
      <c r="N235" s="39"/>
      <c r="O235" s="135" t="s">
        <v>97</v>
      </c>
      <c r="P235" s="39"/>
      <c r="Q235" s="53" t="s">
        <v>81</v>
      </c>
      <c r="R235" s="39"/>
      <c r="S235" s="39">
        <v>2</v>
      </c>
      <c r="T235" s="39"/>
      <c r="U235" s="120"/>
      <c r="V235" s="53"/>
      <c r="W235" s="54"/>
      <c r="X235" s="54"/>
      <c r="Y235" s="54"/>
      <c r="Z235" s="39"/>
      <c r="AA235" s="39"/>
    </row>
    <row r="236" spans="1:27" hidden="1">
      <c r="A236" s="94">
        <v>6</v>
      </c>
      <c r="B236" s="95" t="s">
        <v>150</v>
      </c>
      <c r="C236" s="95"/>
      <c r="D236" s="95"/>
      <c r="F236" s="39"/>
      <c r="G236" s="39"/>
      <c r="H236" s="39"/>
      <c r="I236" s="39"/>
      <c r="J236" s="53" t="s">
        <v>129</v>
      </c>
      <c r="K236" s="134">
        <v>5</v>
      </c>
      <c r="L236" s="39"/>
      <c r="M236" s="135" t="s">
        <v>199</v>
      </c>
      <c r="N236" s="39"/>
      <c r="O236" s="135" t="s">
        <v>96</v>
      </c>
      <c r="P236" s="39"/>
      <c r="Q236" s="53" t="s">
        <v>79</v>
      </c>
      <c r="R236" s="39"/>
      <c r="S236" s="39">
        <v>3</v>
      </c>
      <c r="T236" s="39"/>
      <c r="U236" s="120"/>
      <c r="V236" s="53"/>
      <c r="W236" s="54"/>
      <c r="X236" s="54"/>
      <c r="Y236" s="54"/>
      <c r="Z236" s="39"/>
      <c r="AA236" s="39"/>
    </row>
    <row r="237" spans="1:27" hidden="1">
      <c r="A237" s="94">
        <v>7</v>
      </c>
      <c r="B237" s="95" t="s">
        <v>146</v>
      </c>
      <c r="C237" s="95"/>
      <c r="D237" s="95"/>
      <c r="F237" s="39"/>
      <c r="G237" s="39"/>
      <c r="H237" s="39"/>
      <c r="I237" s="39"/>
      <c r="J237" s="53" t="s">
        <v>130</v>
      </c>
      <c r="K237" s="134">
        <v>6</v>
      </c>
      <c r="L237" s="39"/>
      <c r="M237" s="135" t="s">
        <v>135</v>
      </c>
      <c r="N237" s="39"/>
      <c r="O237" s="135" t="s">
        <v>95</v>
      </c>
      <c r="P237" s="39"/>
      <c r="Q237" s="53" t="s">
        <v>78</v>
      </c>
      <c r="R237" s="39"/>
      <c r="S237" s="39">
        <v>1</v>
      </c>
      <c r="T237" s="39"/>
      <c r="U237" s="120"/>
      <c r="V237" s="53"/>
      <c r="W237" s="54"/>
      <c r="X237" s="54"/>
      <c r="Y237" s="54"/>
      <c r="Z237" s="39"/>
      <c r="AA237" s="39"/>
    </row>
    <row r="238" spans="1:27" hidden="1">
      <c r="A238" s="136">
        <v>8</v>
      </c>
      <c r="B238" s="95" t="s">
        <v>278</v>
      </c>
      <c r="C238" s="95"/>
      <c r="D238" s="95"/>
      <c r="E238" s="39"/>
      <c r="F238" s="39"/>
      <c r="G238" s="39"/>
      <c r="H238" s="39"/>
      <c r="I238" s="39"/>
      <c r="J238" s="53" t="s">
        <v>131</v>
      </c>
      <c r="K238" s="134">
        <v>7</v>
      </c>
      <c r="L238" s="39"/>
      <c r="M238" s="135" t="s">
        <v>136</v>
      </c>
      <c r="N238" s="39"/>
      <c r="O238" s="135" t="s">
        <v>94</v>
      </c>
      <c r="P238" s="39"/>
      <c r="Q238" s="53" t="s">
        <v>77</v>
      </c>
      <c r="R238" s="39"/>
      <c r="S238" s="39">
        <v>2</v>
      </c>
      <c r="T238" s="39"/>
      <c r="U238" s="120"/>
      <c r="V238" s="53"/>
      <c r="W238" s="54"/>
      <c r="X238" s="54"/>
      <c r="Y238" s="54"/>
      <c r="Z238" s="39"/>
      <c r="AA238" s="39"/>
    </row>
    <row r="239" spans="1:27" hidden="1">
      <c r="A239" s="136">
        <v>9</v>
      </c>
      <c r="B239" s="95" t="s">
        <v>302</v>
      </c>
      <c r="C239" s="95"/>
      <c r="D239" s="95"/>
      <c r="E239" s="39"/>
      <c r="F239" s="39"/>
      <c r="G239" s="39"/>
      <c r="H239" s="39"/>
      <c r="I239" s="39"/>
      <c r="J239" s="53" t="s">
        <v>132</v>
      </c>
      <c r="K239" s="134">
        <v>8</v>
      </c>
      <c r="L239" s="39"/>
      <c r="M239" s="135" t="s">
        <v>137</v>
      </c>
      <c r="N239" s="39"/>
      <c r="O239" s="135" t="s">
        <v>93</v>
      </c>
      <c r="P239" s="39"/>
      <c r="Q239" s="53" t="s">
        <v>75</v>
      </c>
      <c r="R239" s="39"/>
      <c r="S239" s="39">
        <v>3</v>
      </c>
      <c r="T239" s="39"/>
      <c r="U239" s="120"/>
      <c r="V239" s="53"/>
      <c r="W239" s="54"/>
      <c r="X239" s="54"/>
      <c r="Y239" s="54"/>
      <c r="Z239" s="39"/>
      <c r="AA239" s="39"/>
    </row>
    <row r="240" spans="1:27" hidden="1">
      <c r="A240" s="39"/>
      <c r="B240" s="39"/>
      <c r="C240" s="39"/>
      <c r="D240" s="39"/>
      <c r="E240" s="39"/>
      <c r="F240" s="39"/>
      <c r="G240" s="39"/>
      <c r="H240" s="39"/>
      <c r="I240" s="39"/>
      <c r="J240" s="53" t="s">
        <v>92</v>
      </c>
      <c r="K240" s="134">
        <v>9</v>
      </c>
      <c r="L240" s="39"/>
      <c r="M240" s="135" t="s">
        <v>138</v>
      </c>
      <c r="N240" s="39"/>
      <c r="O240" s="135" t="s">
        <v>91</v>
      </c>
      <c r="P240" s="39"/>
      <c r="Q240" s="53" t="s">
        <v>74</v>
      </c>
      <c r="R240" s="39"/>
      <c r="S240" s="39">
        <v>4</v>
      </c>
      <c r="T240" s="39"/>
      <c r="U240" s="120"/>
      <c r="V240" s="53"/>
      <c r="W240" s="54"/>
      <c r="X240" s="54"/>
      <c r="Y240" s="54"/>
      <c r="Z240" s="39"/>
      <c r="AA240" s="39"/>
    </row>
    <row r="241" spans="1:27" hidden="1">
      <c r="A241" s="39"/>
      <c r="B241" s="39"/>
      <c r="C241" s="39"/>
      <c r="D241" s="39"/>
      <c r="E241" s="39"/>
      <c r="F241" s="39"/>
      <c r="G241" s="39"/>
      <c r="H241" s="39"/>
      <c r="I241" s="39"/>
      <c r="J241" s="53" t="s">
        <v>254</v>
      </c>
      <c r="K241" s="134">
        <v>10</v>
      </c>
      <c r="L241" s="39"/>
      <c r="M241" s="135" t="s">
        <v>253</v>
      </c>
      <c r="N241" s="39"/>
      <c r="O241" s="135" t="s">
        <v>90</v>
      </c>
      <c r="P241" s="39"/>
      <c r="Q241" s="53"/>
      <c r="R241" s="39"/>
      <c r="S241" s="39"/>
      <c r="T241" s="39"/>
      <c r="U241" s="120"/>
      <c r="V241" s="53"/>
      <c r="W241" s="54"/>
      <c r="X241" s="54"/>
      <c r="Y241" s="54"/>
      <c r="Z241" s="39"/>
      <c r="AA241" s="39"/>
    </row>
    <row r="242" spans="1:27" hidden="1">
      <c r="A242" s="39"/>
      <c r="B242" s="39"/>
      <c r="C242" s="39"/>
      <c r="D242" s="39"/>
      <c r="E242" s="39"/>
      <c r="F242" s="39"/>
      <c r="G242" s="39"/>
      <c r="H242" s="39"/>
      <c r="I242" s="39"/>
      <c r="J242" s="53" t="s">
        <v>133</v>
      </c>
      <c r="K242" s="134">
        <v>11</v>
      </c>
      <c r="L242" s="39"/>
      <c r="M242" s="135" t="s">
        <v>256</v>
      </c>
      <c r="N242" s="39"/>
      <c r="O242" s="135" t="s">
        <v>89</v>
      </c>
      <c r="P242" s="39"/>
      <c r="Q242" s="53" t="s">
        <v>140</v>
      </c>
      <c r="R242" s="39"/>
      <c r="S242" s="39">
        <v>4</v>
      </c>
      <c r="T242" s="39"/>
      <c r="U242" s="120"/>
      <c r="V242" s="53"/>
      <c r="W242" s="54"/>
      <c r="X242" s="54"/>
      <c r="Y242" s="54"/>
      <c r="Z242" s="39"/>
      <c r="AA242" s="39"/>
    </row>
    <row r="243" spans="1:27" hidden="1">
      <c r="A243" s="39"/>
      <c r="B243" s="39"/>
      <c r="C243" s="39"/>
      <c r="D243" s="39"/>
      <c r="E243" s="39"/>
      <c r="F243" s="39"/>
      <c r="G243" s="39"/>
      <c r="H243" s="39"/>
      <c r="I243" s="39"/>
      <c r="J243" s="53" t="s">
        <v>134</v>
      </c>
      <c r="K243" s="134">
        <v>12</v>
      </c>
      <c r="L243" s="39"/>
      <c r="M243" s="135" t="s">
        <v>257</v>
      </c>
      <c r="N243" s="39"/>
      <c r="O243" s="135" t="s">
        <v>87</v>
      </c>
      <c r="P243" s="39"/>
      <c r="Q243" s="53" t="s">
        <v>73</v>
      </c>
      <c r="R243" s="39"/>
      <c r="S243" s="39">
        <v>5</v>
      </c>
      <c r="T243" s="39"/>
      <c r="U243" s="120"/>
      <c r="V243" s="53"/>
      <c r="W243" s="54"/>
      <c r="X243" s="54"/>
      <c r="Y243" s="54"/>
      <c r="Z243" s="39"/>
      <c r="AA243" s="39"/>
    </row>
    <row r="244" spans="1:27" hidden="1">
      <c r="A244" s="39"/>
      <c r="B244" s="39"/>
      <c r="C244" s="39"/>
      <c r="D244" s="39"/>
      <c r="E244" s="39"/>
      <c r="F244" s="39"/>
      <c r="G244" s="39"/>
      <c r="H244" s="39"/>
      <c r="I244" s="39"/>
      <c r="J244" s="53" t="s">
        <v>88</v>
      </c>
      <c r="K244" s="134">
        <v>13</v>
      </c>
      <c r="L244" s="39"/>
      <c r="M244" s="135" t="s">
        <v>258</v>
      </c>
      <c r="N244" s="39"/>
      <c r="O244" s="135" t="s">
        <v>85</v>
      </c>
      <c r="P244" s="39"/>
      <c r="Q244" s="53" t="s">
        <v>72</v>
      </c>
      <c r="R244" s="39"/>
      <c r="S244" s="39">
        <v>6</v>
      </c>
      <c r="T244" s="39"/>
      <c r="U244" s="120"/>
      <c r="V244" s="53"/>
      <c r="W244" s="54"/>
      <c r="X244" s="54"/>
      <c r="Y244" s="54"/>
      <c r="Z244" s="39"/>
      <c r="AA244" s="39"/>
    </row>
    <row r="245" spans="1:27" hidden="1">
      <c r="A245" s="39"/>
      <c r="B245" s="39"/>
      <c r="C245" s="39"/>
      <c r="D245" s="39"/>
      <c r="E245" s="39"/>
      <c r="F245" s="39"/>
      <c r="G245" s="39"/>
      <c r="H245" s="39"/>
      <c r="I245" s="39"/>
      <c r="J245" s="53"/>
      <c r="K245" s="134">
        <v>14</v>
      </c>
      <c r="L245" s="39"/>
      <c r="M245" s="135" t="s">
        <v>285</v>
      </c>
      <c r="N245" s="39"/>
      <c r="O245" s="135" t="s">
        <v>83</v>
      </c>
      <c r="P245" s="39"/>
      <c r="Q245" s="53"/>
      <c r="R245" s="39"/>
      <c r="S245" s="39"/>
      <c r="T245" s="39"/>
      <c r="U245" s="120"/>
      <c r="V245" s="53"/>
      <c r="W245" s="54"/>
      <c r="X245" s="54"/>
      <c r="Y245" s="54"/>
      <c r="Z245" s="39"/>
      <c r="AA245" s="39"/>
    </row>
    <row r="246" spans="1:27" hidden="1">
      <c r="A246" s="39"/>
      <c r="B246" s="39"/>
      <c r="C246" s="39"/>
      <c r="D246" s="39"/>
      <c r="E246" s="39"/>
      <c r="F246" s="39"/>
      <c r="G246" s="39"/>
      <c r="H246" s="39"/>
      <c r="I246" s="39"/>
      <c r="J246" s="53"/>
      <c r="K246" s="134">
        <v>15</v>
      </c>
      <c r="L246" s="39"/>
      <c r="M246" s="135" t="s">
        <v>286</v>
      </c>
      <c r="N246" s="39"/>
      <c r="O246" s="135" t="s">
        <v>255</v>
      </c>
      <c r="P246" s="39"/>
      <c r="Q246" s="53"/>
      <c r="R246" s="39"/>
      <c r="S246" s="39"/>
      <c r="T246" s="39"/>
      <c r="U246" s="120"/>
      <c r="V246" s="53"/>
      <c r="W246" s="54"/>
      <c r="X246" s="54"/>
      <c r="Y246" s="54"/>
      <c r="Z246" s="39"/>
      <c r="AA246" s="39"/>
    </row>
    <row r="247" spans="1:27" hidden="1">
      <c r="A247" s="39"/>
      <c r="B247" s="39"/>
      <c r="C247" s="39"/>
      <c r="D247" s="39"/>
      <c r="E247" s="39"/>
      <c r="F247" s="39"/>
      <c r="G247" s="39"/>
      <c r="H247" s="39"/>
      <c r="I247" s="39"/>
      <c r="J247" s="53" t="s">
        <v>86</v>
      </c>
      <c r="K247" s="134">
        <v>16</v>
      </c>
      <c r="L247" s="39"/>
      <c r="M247" s="135" t="s">
        <v>281</v>
      </c>
      <c r="N247" s="39"/>
      <c r="O247" s="135" t="s">
        <v>283</v>
      </c>
      <c r="P247" s="39"/>
      <c r="Q247" s="53" t="s">
        <v>139</v>
      </c>
      <c r="R247" s="39"/>
      <c r="S247" s="39">
        <v>7</v>
      </c>
      <c r="T247" s="39"/>
      <c r="U247" s="120"/>
      <c r="V247" s="53"/>
      <c r="W247" s="54"/>
      <c r="X247" s="54"/>
      <c r="Y247" s="54"/>
      <c r="Z247" s="39"/>
      <c r="AA247" s="39"/>
    </row>
    <row r="248" spans="1:27" ht="15" hidden="1">
      <c r="A248" s="39"/>
      <c r="B248" s="45" t="s">
        <v>44</v>
      </c>
      <c r="C248" s="45"/>
      <c r="D248" s="45"/>
      <c r="E248" s="39"/>
      <c r="F248" s="45" t="s">
        <v>45</v>
      </c>
      <c r="G248" s="39"/>
      <c r="H248" s="39"/>
      <c r="I248" s="39"/>
      <c r="J248" s="53" t="s">
        <v>84</v>
      </c>
      <c r="K248" s="134">
        <v>17</v>
      </c>
      <c r="L248" s="39"/>
      <c r="M248" s="135" t="s">
        <v>282</v>
      </c>
      <c r="N248" s="39"/>
      <c r="O248" s="135" t="s">
        <v>284</v>
      </c>
      <c r="P248" s="39"/>
      <c r="Q248" s="53" t="s">
        <v>68</v>
      </c>
      <c r="R248" s="39"/>
      <c r="S248" s="39">
        <v>8</v>
      </c>
      <c r="T248" s="39"/>
      <c r="U248" s="120"/>
      <c r="V248" s="53"/>
      <c r="W248" s="54"/>
      <c r="X248" s="54"/>
      <c r="Y248" s="54"/>
      <c r="Z248" s="39"/>
      <c r="AA248" s="39"/>
    </row>
    <row r="249" spans="1:27" hidden="1">
      <c r="A249" s="39"/>
      <c r="B249" s="39" t="str">
        <f>IF(OR(E42=B231,E42=B239),"0",IF(E42=B232,"1",IF(E42=B233,"16",IF(E42=B234,"4",IF(E42=B235,"14",IF(E42=B236,"14",IF(E42=B237,"16","")))))))</f>
        <v/>
      </c>
      <c r="C249" s="39"/>
      <c r="D249" s="39"/>
      <c r="E249" s="39"/>
      <c r="F249" s="39" t="str">
        <f>IF(OR(G42=B231,G42=B239),"0",IF(G42=B232,"1",IF(G42=B233,"16",IF(G42=B234,"4",IF(G42=B235,"14",IF(G42=B236,"14",IF(G42=B237,"16",IF(G42=B238,"8",""))))))))</f>
        <v/>
      </c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53" t="s">
        <v>65</v>
      </c>
      <c r="R249" s="39"/>
      <c r="S249" s="39">
        <v>9</v>
      </c>
      <c r="T249" s="39"/>
      <c r="U249" s="120"/>
      <c r="V249" s="53"/>
      <c r="W249" s="54"/>
      <c r="X249" s="54"/>
      <c r="Y249" s="54"/>
      <c r="Z249" s="39"/>
      <c r="AA249" s="39"/>
    </row>
    <row r="250" spans="1:27" ht="15" hidden="1">
      <c r="A250" s="39"/>
      <c r="B250" s="39" t="str">
        <f>IF(B249="1",M232,IF(B249="16",M247,IF(B249="0",J231,IF(B249="14",M245,IF(B249="4",M245,"")))))</f>
        <v/>
      </c>
      <c r="C250" s="39"/>
      <c r="D250" s="39"/>
      <c r="E250" s="39"/>
      <c r="F250" s="39" t="str">
        <f>IF($F$249="1",M232,IF(F249="14",M245,IF(F249="0",J231,IF(F249="8",K231,IF(F249="16",M247,IF(F249="4",M245,""))))))</f>
        <v/>
      </c>
      <c r="G250" s="39"/>
      <c r="H250" s="39"/>
      <c r="I250" s="39"/>
      <c r="J250" s="45" t="s">
        <v>44</v>
      </c>
      <c r="K250" s="39">
        <v>100</v>
      </c>
      <c r="L250" s="137" t="s">
        <v>45</v>
      </c>
      <c r="M250" s="39"/>
      <c r="N250" s="39"/>
      <c r="O250" s="39"/>
      <c r="P250" s="39"/>
      <c r="Q250" s="53" t="s">
        <v>62</v>
      </c>
      <c r="R250" s="39"/>
      <c r="S250" s="39">
        <v>10</v>
      </c>
      <c r="T250" s="39"/>
      <c r="U250" s="120"/>
      <c r="V250" s="53"/>
      <c r="W250" s="54"/>
      <c r="X250" s="54"/>
      <c r="Y250" s="54"/>
      <c r="Z250" s="39"/>
      <c r="AA250" s="39"/>
    </row>
    <row r="251" spans="1:27" hidden="1">
      <c r="A251" s="39"/>
      <c r="B251" s="39" t="str">
        <f>IF($B$249="1",M233,IF(B249="14",M246,IF(B249="4",M246,"")))</f>
        <v/>
      </c>
      <c r="C251" s="39"/>
      <c r="D251" s="39"/>
      <c r="E251" s="39"/>
      <c r="F251" s="39" t="str">
        <f>IF($F$249="1",M233,IF(F249="14",M246,IF(F249="4",M246,"")))</f>
        <v/>
      </c>
      <c r="G251" s="39"/>
      <c r="H251" s="39"/>
      <c r="I251" s="39" t="s">
        <v>200</v>
      </c>
      <c r="J251" s="39" t="str">
        <f>IF(E69=J231,L232,IF(E69=M232,K232,IF(E69=M233,K233,IF(E69=M234,K234,IF(E69=M235,K235,IF(E69=M236,K236,IF(E69=M237,K237,IF(E69=M238,K238,IF(E69=M239,K239,IF(E69=M240,K240,IF(E69=M241,K241,IF(E69=M242,K242,IF(E69=M243,K243,IF(E69=M244,K244,IF(E69=M247,K247,IF(E69=M248,K248,IF(E69=M245,K245,IF(E69=M246,K246,""))))))))))))))))))</f>
        <v/>
      </c>
      <c r="K251" s="39"/>
      <c r="L251" s="138" t="str">
        <f>IF(G69=J231,L232,IF(G69=M232,K232,IF(G69=M233,K233,IF(G69=M234,K234,IF(G69=M235,K235,IF(G69=M236,K236,IF(G69=M237,K237,IF(G69=M238,K238,IF(G69=M239,K239,IF(G69=M240,K240,IF(G69=M241,K241,IF(G69=M242,K242,IF(G69=M243,K243,IF(G69=M244,K244,IF(G69=M247,K247,IF(G69=M248,K248,IF(G69=K231,L233,IF(G69=M245,K245,IF(G69=M246,K246,"")))))))))))))))))))</f>
        <v/>
      </c>
      <c r="M251" s="39"/>
      <c r="N251" s="39"/>
      <c r="O251" s="39"/>
      <c r="P251" s="39"/>
      <c r="Q251" s="53" t="s">
        <v>61</v>
      </c>
      <c r="R251" s="39"/>
      <c r="S251" s="39">
        <v>11</v>
      </c>
      <c r="T251" s="39"/>
      <c r="U251" s="120"/>
      <c r="V251" s="53"/>
      <c r="W251" s="54"/>
      <c r="X251" s="54"/>
      <c r="Y251" s="54"/>
      <c r="Z251" s="39"/>
      <c r="AA251" s="39"/>
    </row>
    <row r="252" spans="1:27" hidden="1">
      <c r="A252" s="39"/>
      <c r="B252" s="39" t="str">
        <f>IF($B$249="1",M234,IF(B249="4",M247,""))</f>
        <v/>
      </c>
      <c r="C252" s="39"/>
      <c r="D252" s="39"/>
      <c r="E252" s="39"/>
      <c r="F252" s="39" t="str">
        <f>IF($F$249="1",M234,IF(F249="4",M247,""))</f>
        <v/>
      </c>
      <c r="G252" s="39"/>
      <c r="H252" s="39" t="s">
        <v>201</v>
      </c>
      <c r="J252" s="39" t="str">
        <f>IF(E70=Q232,(J251*K250)+S232,IF(E70=Q234,(J251*K250)+S234,IF(E70=Q233,(J251*K250)+S233,IF(E70=Q235,(J251*K250)+S235,IF(E70=Q236,(J251*K250)+S236,IF(E70=Q237,(J251*K250)+S237,IF(E70=Q238,(J251*K250)+S238,IF(E70=Q239,(J251*K250)+S239,IF(E70=Q240,(J251*K250)+S240,IF(E70=Q242,(J251*K250)+S242,IF(E70=Q243,(J251*K250)+S243,IF(E70=Q244,(J251*K250)+S244,IF(E70=Q247,(J251*K250)+S247,IF(E70=Q248,(J251*K250)+S248,IF(E70=Q249,(J251*K250)+S249,IF(E70=Q250,(J251*K250)+S250,IF(E70=Q251,(J251*K250)+S251,IF(E70=Q252,(J251*K250)+S252,IF(E70=Q253,(J251*K250)+S253,IF(E70=Q254,(J251*K250)+S254,IF(E70=Q255,(J251*K250)+S255,IF(E70=Q256,(J251*K250)+S256,IF(E70=Q257,(J251*K250)+S257,IF(E70=Q258,(J251*K250)+S258,IF(E70=Q259,(J251*K250)+S259,IF(E70=Q260,(J251*K250)+S260,IF(E70=Q261,(J251*K250)+S261,"")))))))))))))))))))))))))))</f>
        <v/>
      </c>
      <c r="K252" s="39"/>
      <c r="L252" s="138" t="str">
        <f>IF(G70=Q232,(L251*K250)+S232,IF(G70=Q234,(L251*K250)+S234,IF(G70=Q233,(L251*K250)+S233,IF(G70=Q235,(L251*K250)+S235,IF(G70=Q236,(L251*K250)+S236,IF(G70=Q237,(L251*K250)+S237,IF(G70=Q238,(L251*K250)+S238,IF(G70=Q239,(L251*K250)+S239,IF(G70=Q240,(L251*K250)+S240,IF(G70=Q242,(L251*K250)+S242,IF(G70=Q243,(L251*K250)+S243,IF(G70=Q244,(L251*K250)+S244,IF(G70=Q247,(L251*K250)+S247,IF(G70=Q248,(L251*K250)+S248,IF(G70=Q249,(L251*K250)+S249,IF(G70=Q250,(L251*K250)+S250,IF(G70=Q251,(L251*K250)+S251,IF(G70=Q252,(L251*K250)+S252,IF(G70=Q253,(L251*K250)+S253,IF(G70=Q254,(L251*K250)+S254,IF(G70=Q255,(L251*K250)+S255,IF(G70=Q256,(L251*K250)+S256,IF(G70=Q257,(L251*K250)+S257,IF(G70=Q258,(L251*K250)+S258,IF(G70=Q259,(L251*K250)+S259,IF(G70=Q260,(L251*K250)+S260,IF(G70=Q261,(L251*K250)+S261,"")))))))))))))))))))))))))))</f>
        <v/>
      </c>
      <c r="M252" s="39"/>
      <c r="N252" s="39"/>
      <c r="O252" s="39"/>
      <c r="P252" s="39"/>
      <c r="Q252" s="53" t="s">
        <v>60</v>
      </c>
      <c r="R252" s="39"/>
      <c r="S252" s="39">
        <v>12</v>
      </c>
      <c r="T252" s="39"/>
      <c r="U252" s="120"/>
      <c r="V252" s="53"/>
      <c r="W252" s="54"/>
      <c r="X252" s="54"/>
      <c r="Y252" s="54"/>
      <c r="Z252" s="39"/>
      <c r="AA252" s="39"/>
    </row>
    <row r="253" spans="1:27" hidden="1">
      <c r="A253" s="39"/>
      <c r="B253" s="39" t="str">
        <f t="shared" ref="B253:B262" si="2">IF($B$249="1",M235,"")</f>
        <v/>
      </c>
      <c r="C253" s="39"/>
      <c r="D253" s="39"/>
      <c r="E253" s="39"/>
      <c r="F253" s="39" t="str">
        <f t="shared" ref="F253:F262" si="3">IF($F$249="1",M235,"")</f>
        <v/>
      </c>
      <c r="G253" s="39"/>
      <c r="H253" s="39"/>
      <c r="I253" s="39"/>
      <c r="J253" s="39" t="str">
        <f>IF($J$251=L232,J231,IF($J$251=K232,Q232,IF(J251=K233,Q232,IF(J251=K234,Q232,IF(J251=K235,Q232,IF(J251=K236,Q232,IF(J251=K237,Q232,IF(J251=K238,Q232,IF(J251=K239,Q232,IF(J251=K240,Q232,IF(J251=K241,Q232,IF(J251=K242,Q232,IF(J251=K243,Q232,IF(J251=K244,Q232,IF(J251=K247,Q234,IF(J251=K248,Q232,""))))))))))))))))</f>
        <v/>
      </c>
      <c r="K253" s="39"/>
      <c r="L253" s="138" t="str">
        <f>IF($L$251=L232,J231,IF($L$251=K232,Q232,IF(L251=K233,Q232,IF(L251=K234,Q232,IF(L251=K235,Q232,IF(L251=K236,Q232,IF(L251=K237,Q232,IF(L251=K238,Q232,IF(L251=K239,Q232,IF(L251=K240,Q232,IF(L251=K241,Q232,IF(L251=K242,Q232,IF(L251=K243,Q232,IF(L251=K244,Q232,IF(L251=K247,Q234,IF(L251=K248,Q232,IF(L251=L233,K231,"")))))))))))))))))</f>
        <v/>
      </c>
      <c r="M253" s="39"/>
      <c r="N253" s="39"/>
      <c r="O253" s="39"/>
      <c r="P253" s="39"/>
      <c r="Q253" s="53" t="s">
        <v>59</v>
      </c>
      <c r="R253" s="39"/>
      <c r="S253" s="39">
        <v>13</v>
      </c>
      <c r="T253" s="39"/>
      <c r="U253" s="120"/>
      <c r="V253" s="53"/>
      <c r="W253" s="54"/>
      <c r="X253" s="54"/>
      <c r="Y253" s="54"/>
      <c r="Z253" s="39"/>
      <c r="AA253" s="39"/>
    </row>
    <row r="254" spans="1:27" hidden="1">
      <c r="A254" s="39"/>
      <c r="B254" s="39" t="str">
        <f t="shared" si="2"/>
        <v/>
      </c>
      <c r="C254" s="39"/>
      <c r="D254" s="39"/>
      <c r="E254" s="39"/>
      <c r="F254" s="39" t="str">
        <f t="shared" si="3"/>
        <v/>
      </c>
      <c r="G254" s="39"/>
      <c r="H254" s="39"/>
      <c r="I254" s="39"/>
      <c r="J254" s="39" t="str">
        <f>IF($J$251=1,Q233,IF($J$251=2," ",IF($J$251=3,Q233,IF($J$251&lt;10," ",IF($J$251&lt;14,Q233,IF($J$251=16,Q235,IF(J251=K248,Q233,"")))))))</f>
        <v/>
      </c>
      <c r="K254" s="39"/>
      <c r="L254" s="138" t="str">
        <f>IF($L$251=1,Q233,IF($L$251=2," ",IF($L$251=3,Q233,IF($L$251&lt;10," ",IF($L$251&lt;14,Q233,IF($L$251=16,Q235,IF(L251=K248,Q233,"")))))))</f>
        <v/>
      </c>
      <c r="M254" s="39"/>
      <c r="N254" s="39"/>
      <c r="O254" s="39"/>
      <c r="P254" s="39"/>
      <c r="Q254" s="53" t="s">
        <v>58</v>
      </c>
      <c r="R254" s="39"/>
      <c r="S254" s="39">
        <v>14</v>
      </c>
      <c r="T254" s="39"/>
      <c r="U254" s="120"/>
      <c r="V254" s="53"/>
      <c r="W254" s="54"/>
      <c r="X254" s="54"/>
      <c r="Y254" s="54"/>
      <c r="Z254" s="39"/>
      <c r="AA254" s="39"/>
    </row>
    <row r="255" spans="1:27" hidden="1">
      <c r="A255" s="39"/>
      <c r="B255" s="39" t="str">
        <f t="shared" si="2"/>
        <v/>
      </c>
      <c r="C255" s="39"/>
      <c r="D255" s="39"/>
      <c r="E255" s="39"/>
      <c r="F255" s="39" t="str">
        <f t="shared" si="3"/>
        <v/>
      </c>
      <c r="G255" s="39"/>
      <c r="H255" s="39"/>
      <c r="I255" s="39"/>
      <c r="J255" s="39" t="str">
        <f>IF($J$251=16,Q236,"")</f>
        <v/>
      </c>
      <c r="K255" s="39"/>
      <c r="L255" s="138" t="str">
        <f>IF($L$251=16,Q236,"")</f>
        <v/>
      </c>
      <c r="M255" s="39"/>
      <c r="N255" s="39"/>
      <c r="O255" s="39"/>
      <c r="P255" s="39"/>
      <c r="Q255" s="53" t="s">
        <v>57</v>
      </c>
      <c r="R255" s="39"/>
      <c r="S255" s="39">
        <v>15</v>
      </c>
      <c r="T255" s="39"/>
      <c r="U255" s="120"/>
      <c r="V255" s="53"/>
      <c r="W255" s="54"/>
      <c r="X255" s="54"/>
      <c r="Y255" s="54"/>
      <c r="Z255" s="39"/>
      <c r="AA255" s="39"/>
    </row>
    <row r="256" spans="1:27" hidden="1">
      <c r="A256" s="39"/>
      <c r="B256" s="39" t="str">
        <f t="shared" si="2"/>
        <v/>
      </c>
      <c r="C256" s="39"/>
      <c r="D256" s="39"/>
      <c r="E256" s="39"/>
      <c r="F256" s="39" t="str">
        <f t="shared" si="3"/>
        <v/>
      </c>
      <c r="G256" s="39"/>
      <c r="H256" s="39"/>
      <c r="I256" s="39"/>
      <c r="J256" s="39" t="str">
        <f>IF($J$251=14,Q237,IF(J251=15,Q237,""))</f>
        <v/>
      </c>
      <c r="K256" s="39"/>
      <c r="L256" s="138" t="str">
        <f>IF($L$251=14,Q237,IF(L251=15,Q237,""))</f>
        <v/>
      </c>
      <c r="M256" s="39"/>
      <c r="N256" s="39"/>
      <c r="O256" s="39"/>
      <c r="P256" s="39"/>
      <c r="Q256" s="53" t="s">
        <v>56</v>
      </c>
      <c r="R256" s="39"/>
      <c r="S256" s="39">
        <v>16</v>
      </c>
      <c r="T256" s="39"/>
      <c r="U256" s="120"/>
      <c r="V256" s="53"/>
      <c r="W256" s="54"/>
      <c r="X256" s="54"/>
      <c r="Y256" s="54"/>
      <c r="Z256" s="39"/>
      <c r="AA256" s="39"/>
    </row>
    <row r="257" spans="1:27" hidden="1">
      <c r="A257" s="39"/>
      <c r="B257" s="39" t="str">
        <f t="shared" si="2"/>
        <v/>
      </c>
      <c r="C257" s="39"/>
      <c r="D257" s="39"/>
      <c r="E257" s="39"/>
      <c r="F257" s="39" t="str">
        <f t="shared" si="3"/>
        <v/>
      </c>
      <c r="G257" s="39"/>
      <c r="H257" s="39"/>
      <c r="I257" s="39"/>
      <c r="J257" s="39" t="str">
        <f>IF($J$251=14,Q238,IF(J251=15,Q238,""))</f>
        <v/>
      </c>
      <c r="K257" s="39"/>
      <c r="L257" s="138" t="str">
        <f>IF($L$251=14,Q238,IF(L251=15,Q238,""))</f>
        <v/>
      </c>
      <c r="M257" s="39"/>
      <c r="N257" s="39"/>
      <c r="O257" s="39"/>
      <c r="P257" s="39"/>
      <c r="Q257" s="53" t="s">
        <v>55</v>
      </c>
      <c r="R257" s="39"/>
      <c r="S257" s="39">
        <v>5</v>
      </c>
      <c r="T257" s="39"/>
      <c r="U257" s="120"/>
      <c r="V257" s="53"/>
      <c r="W257" s="54"/>
      <c r="X257" s="54"/>
      <c r="Y257" s="54"/>
      <c r="Z257" s="39"/>
      <c r="AA257" s="39"/>
    </row>
    <row r="258" spans="1:27" hidden="1">
      <c r="A258" s="39"/>
      <c r="B258" s="39" t="str">
        <f t="shared" si="2"/>
        <v/>
      </c>
      <c r="C258" s="39"/>
      <c r="D258" s="39"/>
      <c r="E258" s="39"/>
      <c r="F258" s="39" t="str">
        <f t="shared" si="3"/>
        <v/>
      </c>
      <c r="G258" s="39"/>
      <c r="H258" s="39"/>
      <c r="I258" s="39"/>
      <c r="J258" s="39" t="str">
        <f>IF($J$251=14,Q239,IF(J251=15,Q239,""))</f>
        <v/>
      </c>
      <c r="K258" s="39"/>
      <c r="L258" s="138" t="str">
        <f>IF($L$251=14,Q239,IF(L251=15,Q239,""))</f>
        <v/>
      </c>
      <c r="M258" s="39"/>
      <c r="N258" s="39"/>
      <c r="O258" s="39"/>
      <c r="P258" s="39"/>
      <c r="Q258" s="53" t="s">
        <v>54</v>
      </c>
      <c r="R258" s="39"/>
      <c r="S258" s="39">
        <v>17</v>
      </c>
      <c r="T258" s="39"/>
      <c r="U258" s="120"/>
      <c r="V258" s="53"/>
      <c r="W258" s="54"/>
      <c r="X258" s="54"/>
      <c r="Y258" s="54"/>
      <c r="Z258" s="39"/>
      <c r="AA258" s="39"/>
    </row>
    <row r="259" spans="1:27" hidden="1">
      <c r="A259" s="39"/>
      <c r="B259" s="39" t="str">
        <f t="shared" si="2"/>
        <v/>
      </c>
      <c r="C259" s="39"/>
      <c r="D259" s="39"/>
      <c r="E259" s="39"/>
      <c r="F259" s="39" t="str">
        <f t="shared" si="3"/>
        <v/>
      </c>
      <c r="G259" s="39"/>
      <c r="H259" s="39"/>
      <c r="I259" s="39"/>
      <c r="J259" s="39" t="str">
        <f>IF($J$251=14,Q240,IF(J251=15,Q240,""))</f>
        <v/>
      </c>
      <c r="K259" s="39"/>
      <c r="L259" s="138" t="str">
        <f>IF($L$251=14,Q240,IF(L251=15,Q240,""))</f>
        <v/>
      </c>
      <c r="M259" s="39"/>
      <c r="N259" s="39"/>
      <c r="O259" s="39"/>
      <c r="P259" s="39"/>
      <c r="Q259" s="53" t="s">
        <v>53</v>
      </c>
      <c r="R259" s="39"/>
      <c r="S259" s="39">
        <v>18</v>
      </c>
      <c r="T259" s="39"/>
      <c r="U259" s="120"/>
      <c r="V259" s="53"/>
      <c r="W259" s="54"/>
      <c r="X259" s="54"/>
      <c r="Y259" s="54"/>
      <c r="Z259" s="39"/>
      <c r="AA259" s="39"/>
    </row>
    <row r="260" spans="1:27" hidden="1">
      <c r="A260" s="39"/>
      <c r="B260" s="39" t="str">
        <f t="shared" si="2"/>
        <v/>
      </c>
      <c r="C260" s="39"/>
      <c r="D260" s="39"/>
      <c r="E260" s="39"/>
      <c r="F260" s="39" t="str">
        <f t="shared" si="3"/>
        <v/>
      </c>
      <c r="G260" s="39"/>
      <c r="H260" s="39"/>
      <c r="I260" s="39"/>
      <c r="J260" s="39" t="str">
        <f>IF($J$251=16,Q242,IF($J$251=14,Q257,IF($J$251=15,Q257,"")))</f>
        <v/>
      </c>
      <c r="K260" s="39"/>
      <c r="L260" s="138" t="str">
        <f>IF($L$251=16,Q242,IF($L$251=14,Q257,IF($L$251=15,Q257,"")))</f>
        <v/>
      </c>
      <c r="M260" s="39"/>
      <c r="N260" s="39"/>
      <c r="O260" s="39"/>
      <c r="P260" s="39"/>
      <c r="Q260" s="53" t="s">
        <v>52</v>
      </c>
      <c r="R260" s="39"/>
      <c r="S260" s="39">
        <v>19</v>
      </c>
      <c r="T260" s="39"/>
      <c r="U260" s="120"/>
      <c r="V260" s="53"/>
      <c r="W260" s="54"/>
      <c r="X260" s="54"/>
      <c r="Y260" s="54"/>
      <c r="Z260" s="39"/>
      <c r="AA260" s="39"/>
    </row>
    <row r="261" spans="1:27" hidden="1">
      <c r="A261" s="39"/>
      <c r="B261" s="39" t="str">
        <f t="shared" si="2"/>
        <v/>
      </c>
      <c r="C261" s="39"/>
      <c r="D261" s="39"/>
      <c r="E261" s="39"/>
      <c r="F261" s="39" t="str">
        <f t="shared" si="3"/>
        <v/>
      </c>
      <c r="G261" s="39"/>
      <c r="H261" s="39"/>
      <c r="I261" s="39"/>
      <c r="J261" s="39" t="str">
        <f>IF($J$251=16,Q243,"")</f>
        <v/>
      </c>
      <c r="K261" s="39"/>
      <c r="L261" s="138" t="str">
        <f>IF($L$251=16,Q243,"")</f>
        <v/>
      </c>
      <c r="M261" s="39"/>
      <c r="N261" s="39"/>
      <c r="O261" s="39"/>
      <c r="P261" s="39"/>
      <c r="Q261" s="139" t="s">
        <v>51</v>
      </c>
      <c r="R261" s="39"/>
      <c r="S261" s="39">
        <v>20</v>
      </c>
      <c r="T261" s="39"/>
      <c r="U261" s="120"/>
      <c r="V261" s="53"/>
      <c r="W261" s="54"/>
      <c r="X261" s="54"/>
      <c r="Y261" s="54"/>
      <c r="Z261" s="39"/>
      <c r="AA261" s="39"/>
    </row>
    <row r="262" spans="1:27" hidden="1">
      <c r="A262" s="39"/>
      <c r="B262" s="39" t="str">
        <f t="shared" si="2"/>
        <v/>
      </c>
      <c r="C262" s="39"/>
      <c r="D262" s="39"/>
      <c r="E262" s="39"/>
      <c r="F262" s="39" t="str">
        <f t="shared" si="3"/>
        <v/>
      </c>
      <c r="G262" s="39"/>
      <c r="H262" s="39"/>
      <c r="I262" s="39"/>
      <c r="J262" s="39" t="str">
        <f>IF($J$251=16,Q244,"")</f>
        <v/>
      </c>
      <c r="K262" s="39"/>
      <c r="L262" s="138" t="str">
        <f>IF($L$251=16,Q244,"")</f>
        <v/>
      </c>
      <c r="M262" s="39"/>
      <c r="N262" s="39"/>
      <c r="O262" s="39"/>
      <c r="P262" s="39"/>
      <c r="Q262" s="43"/>
      <c r="R262" s="39"/>
      <c r="T262" s="39"/>
      <c r="U262" s="120"/>
      <c r="V262" s="53"/>
      <c r="W262" s="54"/>
      <c r="X262" s="54"/>
      <c r="Y262" s="54"/>
      <c r="Z262" s="39"/>
      <c r="AA262" s="39"/>
    </row>
    <row r="263" spans="1:27" hidden="1">
      <c r="A263" s="39"/>
      <c r="B263" s="39" t="str">
        <f>IF($B$249="1",M248,"")</f>
        <v/>
      </c>
      <c r="C263" s="39"/>
      <c r="D263" s="39"/>
      <c r="E263" s="39"/>
      <c r="F263" s="39" t="str">
        <f>IF($F$249="1",M248,"")</f>
        <v/>
      </c>
      <c r="G263" s="39"/>
      <c r="H263" s="39"/>
      <c r="I263" s="39"/>
      <c r="J263" s="39" t="str">
        <f t="shared" ref="J263:J272" si="4">IF($J$251=16,Q247,"")</f>
        <v/>
      </c>
      <c r="K263" s="39"/>
      <c r="L263" s="138" t="str">
        <f t="shared" ref="L263:L272" si="5">IF($L$251=16,Q247,"")</f>
        <v/>
      </c>
      <c r="M263" s="39"/>
      <c r="N263" s="39"/>
      <c r="O263" s="39"/>
      <c r="P263" s="39"/>
      <c r="Q263" s="43"/>
      <c r="R263" s="39"/>
      <c r="S263" s="39"/>
      <c r="T263" s="39"/>
      <c r="U263" s="120"/>
      <c r="V263" s="53"/>
      <c r="W263" s="54"/>
      <c r="X263" s="54"/>
      <c r="Y263" s="54"/>
      <c r="Z263" s="39"/>
      <c r="AA263" s="39"/>
    </row>
    <row r="264" spans="1:27" hidden="1">
      <c r="A264" s="39"/>
      <c r="B264" s="39"/>
      <c r="C264" s="39"/>
      <c r="D264" s="39"/>
      <c r="E264" s="39"/>
      <c r="F264" s="39"/>
      <c r="G264" s="39"/>
      <c r="H264" s="39"/>
      <c r="I264" s="39"/>
      <c r="J264" s="39" t="str">
        <f t="shared" si="4"/>
        <v/>
      </c>
      <c r="K264" s="39"/>
      <c r="L264" s="138" t="str">
        <f t="shared" si="5"/>
        <v/>
      </c>
      <c r="M264" s="39"/>
      <c r="N264" s="39"/>
      <c r="O264" s="39"/>
      <c r="P264" s="39"/>
      <c r="Q264" s="39"/>
      <c r="R264" s="39"/>
      <c r="S264" s="39"/>
      <c r="T264" s="39"/>
      <c r="U264" s="120"/>
      <c r="V264" s="53"/>
      <c r="W264" s="54"/>
      <c r="X264" s="54"/>
      <c r="Y264" s="54"/>
      <c r="Z264" s="39"/>
      <c r="AA264" s="39"/>
    </row>
    <row r="265" spans="1:27" hidden="1">
      <c r="A265" s="39"/>
      <c r="B265" s="39"/>
      <c r="C265" s="39"/>
      <c r="D265" s="39"/>
      <c r="E265" s="39"/>
      <c r="F265" s="39"/>
      <c r="G265" s="39"/>
      <c r="H265" s="39"/>
      <c r="I265" s="39"/>
      <c r="J265" s="39" t="str">
        <f t="shared" si="4"/>
        <v/>
      </c>
      <c r="K265" s="39"/>
      <c r="L265" s="138" t="str">
        <f t="shared" si="5"/>
        <v/>
      </c>
      <c r="M265" s="39"/>
      <c r="N265" s="39"/>
      <c r="O265" s="39"/>
      <c r="P265" s="39"/>
      <c r="Q265" s="39"/>
      <c r="R265" s="39"/>
      <c r="S265" s="39"/>
      <c r="T265" s="39"/>
      <c r="U265" s="120"/>
      <c r="V265" s="53"/>
      <c r="W265" s="54"/>
      <c r="X265" s="54"/>
      <c r="Y265" s="54"/>
      <c r="Z265" s="39"/>
      <c r="AA265" s="39"/>
    </row>
    <row r="266" spans="1:27" hidden="1">
      <c r="A266" s="39"/>
      <c r="B266" s="39"/>
      <c r="C266" s="39"/>
      <c r="D266" s="39"/>
      <c r="E266" s="39"/>
      <c r="F266" s="39"/>
      <c r="G266" s="39"/>
      <c r="H266" s="39"/>
      <c r="I266" s="39"/>
      <c r="J266" s="39" t="str">
        <f t="shared" si="4"/>
        <v/>
      </c>
      <c r="K266" s="39"/>
      <c r="L266" s="138" t="str">
        <f t="shared" si="5"/>
        <v/>
      </c>
      <c r="M266" s="39"/>
      <c r="N266" s="39"/>
      <c r="O266" s="39"/>
      <c r="P266" s="39"/>
      <c r="Q266" s="39"/>
      <c r="R266" s="39"/>
      <c r="S266" s="39"/>
      <c r="T266" s="39"/>
      <c r="U266" s="120"/>
      <c r="V266" s="53"/>
      <c r="W266" s="54"/>
      <c r="X266" s="54"/>
      <c r="Y266" s="54"/>
      <c r="Z266" s="39"/>
      <c r="AA266" s="39"/>
    </row>
    <row r="267" spans="1:27" hidden="1">
      <c r="A267" s="39"/>
      <c r="B267" s="39"/>
      <c r="C267" s="39"/>
      <c r="D267" s="39"/>
      <c r="E267" s="39"/>
      <c r="F267" s="39"/>
      <c r="G267" s="39"/>
      <c r="H267" s="39"/>
      <c r="I267" s="39"/>
      <c r="J267" s="39" t="str">
        <f t="shared" si="4"/>
        <v/>
      </c>
      <c r="K267" s="39"/>
      <c r="L267" s="138" t="str">
        <f t="shared" si="5"/>
        <v/>
      </c>
      <c r="M267" s="39"/>
      <c r="N267" s="39"/>
      <c r="O267" s="39"/>
      <c r="P267" s="39"/>
      <c r="Q267" s="39"/>
      <c r="R267" s="39"/>
      <c r="S267" s="39"/>
      <c r="T267" s="39"/>
      <c r="U267" s="120"/>
      <c r="V267" s="53"/>
      <c r="W267" s="54"/>
      <c r="X267" s="54"/>
      <c r="Y267" s="54"/>
      <c r="Z267" s="39"/>
      <c r="AA267" s="39"/>
    </row>
    <row r="268" spans="1:27" hidden="1">
      <c r="A268" s="39"/>
      <c r="B268" s="39"/>
      <c r="C268" s="39"/>
      <c r="D268" s="39"/>
      <c r="E268" s="39"/>
      <c r="F268" s="39"/>
      <c r="G268" s="39"/>
      <c r="H268" s="39"/>
      <c r="I268" s="39"/>
      <c r="J268" s="39" t="str">
        <f t="shared" si="4"/>
        <v/>
      </c>
      <c r="K268" s="39"/>
      <c r="L268" s="138" t="str">
        <f t="shared" si="5"/>
        <v/>
      </c>
      <c r="M268" s="39"/>
      <c r="N268" s="39"/>
      <c r="O268" s="39"/>
      <c r="P268" s="39"/>
      <c r="Q268" s="39"/>
      <c r="R268" s="39"/>
      <c r="S268" s="39"/>
      <c r="T268" s="39"/>
      <c r="U268" s="120"/>
      <c r="V268" s="53"/>
      <c r="W268" s="54"/>
      <c r="X268" s="54"/>
      <c r="Y268" s="54"/>
      <c r="Z268" s="39"/>
      <c r="AA268" s="39"/>
    </row>
    <row r="269" spans="1:27" hidden="1">
      <c r="A269" s="39"/>
      <c r="B269" s="39"/>
      <c r="C269" s="39"/>
      <c r="D269" s="39"/>
      <c r="E269" s="39"/>
      <c r="F269" s="39"/>
      <c r="G269" s="39"/>
      <c r="H269" s="39"/>
      <c r="I269" s="39"/>
      <c r="J269" s="39" t="str">
        <f t="shared" si="4"/>
        <v/>
      </c>
      <c r="K269" s="39"/>
      <c r="L269" s="138" t="str">
        <f t="shared" si="5"/>
        <v/>
      </c>
      <c r="M269" s="39"/>
      <c r="N269" s="39"/>
      <c r="O269" s="39"/>
      <c r="P269" s="39"/>
      <c r="Q269" s="39"/>
      <c r="R269" s="39"/>
      <c r="S269" s="39"/>
      <c r="T269" s="39"/>
      <c r="U269" s="120"/>
      <c r="V269" s="53"/>
      <c r="W269" s="54"/>
      <c r="X269" s="54"/>
      <c r="Y269" s="54"/>
      <c r="Z269" s="39"/>
      <c r="AA269" s="39"/>
    </row>
    <row r="270" spans="1:27" hidden="1">
      <c r="A270" s="39"/>
      <c r="B270" s="39"/>
      <c r="C270" s="39"/>
      <c r="D270" s="39"/>
      <c r="E270" s="39"/>
      <c r="F270" s="39"/>
      <c r="G270" s="39"/>
      <c r="H270" s="39"/>
      <c r="I270" s="39"/>
      <c r="J270" s="39" t="str">
        <f t="shared" si="4"/>
        <v/>
      </c>
      <c r="K270" s="39"/>
      <c r="L270" s="138" t="str">
        <f t="shared" si="5"/>
        <v/>
      </c>
      <c r="M270" s="39"/>
      <c r="N270" s="39"/>
      <c r="O270" s="39"/>
      <c r="P270" s="39"/>
      <c r="Q270" s="39"/>
      <c r="R270" s="39"/>
      <c r="S270" s="39"/>
      <c r="T270" s="39"/>
      <c r="U270" s="120"/>
      <c r="V270" s="53"/>
      <c r="W270" s="54"/>
      <c r="X270" s="54"/>
      <c r="Y270" s="54"/>
      <c r="Z270" s="39"/>
      <c r="AA270" s="39"/>
    </row>
    <row r="271" spans="1:27" hidden="1">
      <c r="A271" s="39"/>
      <c r="B271" s="39"/>
      <c r="C271" s="39"/>
      <c r="D271" s="39"/>
      <c r="E271" s="39"/>
      <c r="F271" s="39"/>
      <c r="G271" s="39"/>
      <c r="H271" s="39"/>
      <c r="I271" s="39"/>
      <c r="J271" s="39" t="str">
        <f t="shared" si="4"/>
        <v/>
      </c>
      <c r="K271" s="39"/>
      <c r="L271" s="138" t="str">
        <f t="shared" si="5"/>
        <v/>
      </c>
      <c r="M271" s="39"/>
      <c r="N271" s="39"/>
      <c r="O271" s="39"/>
      <c r="P271" s="39"/>
      <c r="Q271" s="39"/>
      <c r="R271" s="39"/>
      <c r="S271" s="39"/>
      <c r="T271" s="39"/>
      <c r="U271" s="120"/>
      <c r="V271" s="53"/>
      <c r="W271" s="54"/>
      <c r="X271" s="54"/>
      <c r="Y271" s="54"/>
      <c r="Z271" s="39"/>
      <c r="AA271" s="39"/>
    </row>
    <row r="272" spans="1:27" hidden="1">
      <c r="A272" s="39"/>
      <c r="B272" s="39"/>
      <c r="C272" s="39"/>
      <c r="D272" s="39"/>
      <c r="E272" s="39"/>
      <c r="F272" s="39"/>
      <c r="G272" s="39"/>
      <c r="H272" s="39"/>
      <c r="I272" s="39"/>
      <c r="J272" s="39" t="str">
        <f t="shared" si="4"/>
        <v/>
      </c>
      <c r="K272" s="39"/>
      <c r="L272" s="138" t="str">
        <f t="shared" si="5"/>
        <v/>
      </c>
      <c r="M272" s="39"/>
      <c r="N272" s="39"/>
      <c r="O272" s="39"/>
      <c r="P272" s="39"/>
      <c r="Q272" s="39"/>
      <c r="R272" s="39"/>
      <c r="S272" s="39"/>
      <c r="T272" s="39"/>
      <c r="U272" s="120"/>
      <c r="V272" s="53"/>
      <c r="W272" s="54"/>
      <c r="X272" s="54"/>
      <c r="Y272" s="54"/>
      <c r="Z272" s="39"/>
      <c r="AA272" s="39"/>
    </row>
    <row r="273" spans="1:27" hidden="1">
      <c r="A273" s="39"/>
      <c r="B273" s="39"/>
      <c r="C273" s="39"/>
      <c r="D273" s="39"/>
      <c r="E273" s="39"/>
      <c r="F273" s="39"/>
      <c r="G273" s="39"/>
      <c r="H273" s="39"/>
      <c r="I273" s="39"/>
      <c r="J273" s="39" t="str">
        <f>IF($J$251=16,Q258,"")</f>
        <v/>
      </c>
      <c r="K273" s="39"/>
      <c r="L273" s="138" t="str">
        <f>IF($L$251=16,Q258,"")</f>
        <v/>
      </c>
      <c r="M273" s="39"/>
      <c r="N273" s="39"/>
      <c r="O273" s="39"/>
      <c r="P273" s="39"/>
      <c r="Q273" s="39"/>
      <c r="R273" s="39"/>
      <c r="S273" s="39"/>
      <c r="T273" s="39"/>
      <c r="U273" s="120"/>
      <c r="V273" s="53"/>
      <c r="W273" s="54"/>
      <c r="X273" s="54"/>
      <c r="Y273" s="54"/>
      <c r="Z273" s="39"/>
      <c r="AA273" s="39"/>
    </row>
    <row r="274" spans="1:27" hidden="1">
      <c r="A274" s="39"/>
      <c r="B274" s="39"/>
      <c r="C274" s="39"/>
      <c r="D274" s="39"/>
      <c r="E274" s="39"/>
      <c r="F274" s="39"/>
      <c r="G274" s="39"/>
      <c r="H274" s="39"/>
      <c r="I274" s="39"/>
      <c r="J274" s="39" t="str">
        <f>IF($J$251=16,Q259,"")</f>
        <v/>
      </c>
      <c r="K274" s="39"/>
      <c r="L274" s="138" t="str">
        <f>IF($L$251=16,Q259,"")</f>
        <v/>
      </c>
      <c r="M274" s="39"/>
      <c r="N274" s="39"/>
      <c r="O274" s="39"/>
      <c r="P274" s="39"/>
      <c r="Q274" s="39"/>
      <c r="R274" s="39"/>
      <c r="S274" s="39"/>
      <c r="T274" s="39"/>
      <c r="U274" s="120"/>
      <c r="V274" s="53"/>
      <c r="W274" s="54"/>
      <c r="X274" s="54"/>
      <c r="Y274" s="54"/>
      <c r="Z274" s="39"/>
      <c r="AA274" s="39"/>
    </row>
    <row r="275" spans="1:27" hidden="1">
      <c r="A275" s="39"/>
      <c r="B275" s="39"/>
      <c r="C275" s="39"/>
      <c r="D275" s="39"/>
      <c r="E275" s="39"/>
      <c r="F275" s="39"/>
      <c r="G275" s="39"/>
      <c r="H275" s="39"/>
      <c r="I275" s="39"/>
      <c r="J275" s="39" t="str">
        <f>IF($J$251=16,Q260,"")</f>
        <v/>
      </c>
      <c r="K275" s="39"/>
      <c r="L275" s="138" t="str">
        <f>IF($L$251=16,Q260,"")</f>
        <v/>
      </c>
      <c r="M275" s="39"/>
      <c r="N275" s="39"/>
      <c r="O275" s="39"/>
      <c r="P275" s="39"/>
      <c r="Q275" s="39"/>
      <c r="R275" s="39"/>
      <c r="S275" s="39"/>
      <c r="T275" s="39"/>
      <c r="U275" s="120"/>
      <c r="V275" s="53"/>
      <c r="W275" s="54"/>
      <c r="X275" s="54"/>
      <c r="Y275" s="54"/>
      <c r="Z275" s="39"/>
      <c r="AA275" s="39"/>
    </row>
    <row r="276" spans="1:27" hidden="1">
      <c r="A276" s="39"/>
      <c r="B276" s="66"/>
      <c r="C276" s="66"/>
      <c r="D276" s="66"/>
      <c r="E276" s="39"/>
      <c r="F276" s="39"/>
      <c r="G276" s="39"/>
      <c r="H276" s="39"/>
      <c r="I276" s="39"/>
      <c r="J276" s="39" t="str">
        <f>IF($J$251=16,Q261,"")</f>
        <v/>
      </c>
      <c r="K276" s="39"/>
      <c r="L276" s="138" t="str">
        <f>IF($L$251=16,Q261,"")</f>
        <v/>
      </c>
      <c r="M276" s="39"/>
      <c r="N276" s="39"/>
      <c r="O276" s="39"/>
      <c r="P276" s="39"/>
      <c r="Q276" s="39"/>
      <c r="R276" s="39"/>
      <c r="S276" s="39"/>
      <c r="T276" s="39"/>
      <c r="U276" s="120"/>
      <c r="V276" s="53"/>
      <c r="W276" s="54"/>
      <c r="X276" s="54"/>
      <c r="Y276" s="54"/>
      <c r="Z276" s="39"/>
      <c r="AA276" s="39"/>
    </row>
    <row r="277" spans="1:27" hidden="1">
      <c r="A277" s="39"/>
      <c r="B277" s="66"/>
      <c r="C277" s="66"/>
      <c r="D277" s="66"/>
      <c r="E277" s="39"/>
      <c r="F277" s="39"/>
      <c r="G277" s="39"/>
      <c r="H277" s="39"/>
      <c r="I277" s="39"/>
      <c r="J277" s="39" t="str">
        <f>IF($J$251=16,Q262,"")</f>
        <v/>
      </c>
      <c r="K277" s="39"/>
      <c r="L277" s="138" t="str">
        <f>IF($L$251=16,Q262,"")</f>
        <v/>
      </c>
      <c r="M277" s="39"/>
      <c r="N277" s="39"/>
      <c r="O277" s="39"/>
      <c r="P277" s="39"/>
      <c r="Q277" s="39"/>
      <c r="R277" s="39"/>
      <c r="S277" s="39"/>
      <c r="T277" s="39"/>
      <c r="U277" s="120"/>
      <c r="V277" s="53"/>
      <c r="W277" s="54"/>
      <c r="X277" s="54"/>
      <c r="Y277" s="54"/>
      <c r="Z277" s="39"/>
      <c r="AA277" s="39"/>
    </row>
    <row r="278" spans="1:27" hidden="1">
      <c r="A278" s="39"/>
      <c r="B278" s="66"/>
      <c r="C278" s="66"/>
      <c r="D278" s="66"/>
      <c r="E278" s="39"/>
      <c r="F278" s="39"/>
      <c r="G278" s="39"/>
      <c r="H278" s="39"/>
      <c r="I278" s="39"/>
      <c r="J278" s="39"/>
      <c r="K278" s="39"/>
      <c r="L278" s="138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</row>
    <row r="279" spans="1:27" hidden="1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</row>
    <row r="280" spans="1:27" hidden="1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</row>
    <row r="281" spans="1:27" hidden="1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</row>
    <row r="282" spans="1:27" hidden="1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</row>
    <row r="283" spans="1:27" hidden="1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</row>
    <row r="284" spans="1:27" hidden="1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</row>
    <row r="285" spans="1:27" hidden="1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</row>
    <row r="286" spans="1:27" hidden="1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</row>
    <row r="287" spans="1:27" hidden="1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</row>
    <row r="288" spans="1:27" hidden="1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</row>
    <row r="289" spans="1:27" hidden="1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</row>
    <row r="290" spans="1:27" hidden="1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</row>
    <row r="291" spans="1:27" hidden="1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</row>
    <row r="292" spans="1:27" hidden="1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</row>
    <row r="293" spans="1:27" hidden="1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</row>
    <row r="294" spans="1:27" hidden="1">
      <c r="A294" s="39"/>
      <c r="B294" s="140" t="s">
        <v>71</v>
      </c>
      <c r="C294" s="140"/>
      <c r="D294" s="140"/>
      <c r="E294" s="141"/>
      <c r="F294" s="141"/>
      <c r="G294" s="141"/>
      <c r="H294" s="141"/>
      <c r="I294" s="39"/>
      <c r="J294" s="39"/>
      <c r="K294" s="140" t="s">
        <v>71</v>
      </c>
      <c r="L294" s="141"/>
      <c r="M294" s="141"/>
      <c r="N294" s="141"/>
      <c r="O294" s="141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</row>
    <row r="295" spans="1:27" hidden="1">
      <c r="A295" s="39"/>
      <c r="B295" s="140" t="s">
        <v>70</v>
      </c>
      <c r="C295" s="140"/>
      <c r="D295" s="140"/>
      <c r="E295" s="142"/>
      <c r="F295" s="142"/>
      <c r="G295" s="66" t="str">
        <f>IF($B$257="ton (Mg)",#REF!/1000,"-   ")</f>
        <v xml:space="preserve">-   </v>
      </c>
      <c r="H295" s="39" t="s">
        <v>69</v>
      </c>
      <c r="I295" s="39"/>
      <c r="J295" s="39"/>
      <c r="K295" s="140" t="s">
        <v>70</v>
      </c>
      <c r="L295" s="142"/>
      <c r="M295" s="142"/>
      <c r="N295" s="66" t="str">
        <f>IF($G$257="ton (Mg)",#REF!/1000,"-   ")</f>
        <v xml:space="preserve">-   </v>
      </c>
      <c r="O295" s="39" t="s">
        <v>69</v>
      </c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</row>
    <row r="296" spans="1:27" hidden="1">
      <c r="A296" s="39"/>
      <c r="B296" s="140" t="s">
        <v>67</v>
      </c>
      <c r="C296" s="140"/>
      <c r="D296" s="140"/>
      <c r="E296" s="142"/>
      <c r="F296" s="142"/>
      <c r="G296" s="66" t="e">
        <f>IF(#REF!="m3",#REF!/1000000,"-   ")</f>
        <v>#REF!</v>
      </c>
      <c r="H296" s="39" t="s">
        <v>66</v>
      </c>
      <c r="I296" s="39"/>
      <c r="J296" s="39"/>
      <c r="K296" s="140" t="s">
        <v>67</v>
      </c>
      <c r="L296" s="142"/>
      <c r="M296" s="142"/>
      <c r="N296" s="66" t="e">
        <f>IF(#REF!="m3",#REF!/1000000,"-   ")</f>
        <v>#REF!</v>
      </c>
      <c r="O296" s="39" t="s">
        <v>66</v>
      </c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</row>
    <row r="297" spans="1:27" hidden="1">
      <c r="A297" s="39"/>
      <c r="B297" s="140" t="s">
        <v>64</v>
      </c>
      <c r="C297" s="140"/>
      <c r="D297" s="140"/>
      <c r="E297" s="142"/>
      <c r="F297" s="142"/>
      <c r="G297" s="66" t="str">
        <f>IF($B$257="m3",#REF!/#REF!,"-   ")</f>
        <v xml:space="preserve">-   </v>
      </c>
      <c r="H297" s="39" t="s">
        <v>63</v>
      </c>
      <c r="I297" s="39"/>
      <c r="J297" s="39"/>
      <c r="K297" s="140" t="s">
        <v>64</v>
      </c>
      <c r="L297" s="142"/>
      <c r="M297" s="142"/>
      <c r="N297" s="66" t="str">
        <f>IF($G$257="m3",#REF!/#REF!,"-   ")</f>
        <v xml:space="preserve">-   </v>
      </c>
      <c r="O297" s="39" t="s">
        <v>63</v>
      </c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</row>
    <row r="298" spans="1:27" hidden="1">
      <c r="A298" s="39"/>
      <c r="B298" s="140" t="s">
        <v>125</v>
      </c>
      <c r="C298" s="140"/>
      <c r="D298" s="140"/>
      <c r="E298" s="142"/>
      <c r="F298" s="142"/>
      <c r="G298" s="143" t="str">
        <f>IF($B$257="kg",#REF!/0.73/10^6,"-   ")</f>
        <v xml:space="preserve">-   </v>
      </c>
      <c r="H298" s="39" t="s">
        <v>66</v>
      </c>
      <c r="I298" s="39"/>
      <c r="J298" s="39"/>
      <c r="K298" s="140" t="s">
        <v>125</v>
      </c>
      <c r="L298" s="142"/>
      <c r="M298" s="142"/>
      <c r="N298" s="143" t="str">
        <f>IF($G$257="kg",#REF!/0.73/10^6,"-   ")</f>
        <v xml:space="preserve">-   </v>
      </c>
      <c r="O298" s="39" t="s">
        <v>66</v>
      </c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</row>
    <row r="299" spans="1:27" hidden="1">
      <c r="A299" s="39"/>
      <c r="B299" s="140" t="s">
        <v>123</v>
      </c>
      <c r="C299" s="140"/>
      <c r="D299" s="140"/>
      <c r="E299" s="142"/>
      <c r="F299" s="142"/>
      <c r="G299" s="66" t="str">
        <f>IF($B$257="kg",#REF!/580,"-   ")</f>
        <v xml:space="preserve">-   </v>
      </c>
      <c r="H299" s="39" t="s">
        <v>124</v>
      </c>
      <c r="I299" s="141"/>
      <c r="J299" s="39"/>
      <c r="K299" s="140" t="s">
        <v>123</v>
      </c>
      <c r="L299" s="142"/>
      <c r="M299" s="142"/>
      <c r="N299" s="66" t="str">
        <f>IF($G$257="kg",#REF!/580,"-   ")</f>
        <v xml:space="preserve">-   </v>
      </c>
      <c r="O299" s="39" t="s">
        <v>124</v>
      </c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</row>
    <row r="300" spans="1:27" hidden="1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</row>
    <row r="301" spans="1:27" ht="15.75" hidden="1" thickBot="1">
      <c r="A301" s="39"/>
      <c r="B301" s="45" t="s">
        <v>127</v>
      </c>
      <c r="C301" s="45"/>
      <c r="D301" s="45"/>
      <c r="E301" s="39"/>
      <c r="F301" s="39"/>
      <c r="G301" s="39"/>
      <c r="H301" s="39"/>
      <c r="I301" s="39"/>
      <c r="J301" s="39"/>
      <c r="K301" s="39">
        <v>15.6</v>
      </c>
      <c r="L301" s="39" t="s">
        <v>80</v>
      </c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</row>
    <row r="302" spans="1:27" ht="15" hidden="1" thickBot="1">
      <c r="A302" s="39"/>
      <c r="B302" s="132" t="s">
        <v>128</v>
      </c>
      <c r="C302" s="132"/>
      <c r="D302" s="132"/>
      <c r="E302" s="39"/>
      <c r="F302" s="39"/>
      <c r="G302" s="39"/>
      <c r="H302" s="39"/>
      <c r="I302" s="39"/>
      <c r="J302" s="39"/>
      <c r="K302" s="144">
        <v>0</v>
      </c>
      <c r="L302" s="39" t="s">
        <v>80</v>
      </c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</row>
    <row r="303" spans="1:27" hidden="1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</row>
    <row r="304" spans="1:27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</sheetData>
  <sheetProtection algorithmName="SHA-512" hashValue="EI1atKO/bPtNuRHQ8B6PF6VqJWjzgbGM7m2EDbvHVOKpHGQ+9JRLHp+p7WkpJDSPnVH0iK073+o1Fe0SIRad0Q==" saltValue="73lJpYfbZaiRNNbYz+3DXQ==" spinCount="100000" sheet="1" formatRows="0"/>
  <dataConsolidate/>
  <mergeCells count="199">
    <mergeCell ref="A76:D77"/>
    <mergeCell ref="A78:D78"/>
    <mergeCell ref="A79:D79"/>
    <mergeCell ref="A74:D74"/>
    <mergeCell ref="A73:D73"/>
    <mergeCell ref="B28:D28"/>
    <mergeCell ref="A47:D47"/>
    <mergeCell ref="A49:D49"/>
    <mergeCell ref="A48:D48"/>
    <mergeCell ref="A44:D44"/>
    <mergeCell ref="A52:D52"/>
    <mergeCell ref="A53:D53"/>
    <mergeCell ref="A54:D54"/>
    <mergeCell ref="B35:D35"/>
    <mergeCell ref="A58:D59"/>
    <mergeCell ref="B29:D29"/>
    <mergeCell ref="B30:D30"/>
    <mergeCell ref="B31:D31"/>
    <mergeCell ref="A40:D40"/>
    <mergeCell ref="A60:D60"/>
    <mergeCell ref="A61:D61"/>
    <mergeCell ref="A62:D62"/>
    <mergeCell ref="A63:D63"/>
    <mergeCell ref="A64:D64"/>
    <mergeCell ref="A68:D68"/>
    <mergeCell ref="A69:D69"/>
    <mergeCell ref="A70:D70"/>
    <mergeCell ref="A71:D71"/>
    <mergeCell ref="E73:F73"/>
    <mergeCell ref="G73:H73"/>
    <mergeCell ref="E74:F74"/>
    <mergeCell ref="G74:H74"/>
    <mergeCell ref="A72:D72"/>
    <mergeCell ref="E76:F76"/>
    <mergeCell ref="G76:H76"/>
    <mergeCell ref="E58:F58"/>
    <mergeCell ref="G58:H58"/>
    <mergeCell ref="E70:F70"/>
    <mergeCell ref="G70:H70"/>
    <mergeCell ref="E68:F68"/>
    <mergeCell ref="G68:H68"/>
    <mergeCell ref="E69:F69"/>
    <mergeCell ref="G69:H69"/>
    <mergeCell ref="G46:H46"/>
    <mergeCell ref="E47:F47"/>
    <mergeCell ref="G47:H47"/>
    <mergeCell ref="A41:D41"/>
    <mergeCell ref="A42:D42"/>
    <mergeCell ref="A43:D43"/>
    <mergeCell ref="A45:D45"/>
    <mergeCell ref="A46:D46"/>
    <mergeCell ref="E44:F44"/>
    <mergeCell ref="E54:F54"/>
    <mergeCell ref="G54:H54"/>
    <mergeCell ref="E52:F52"/>
    <mergeCell ref="G52:H52"/>
    <mergeCell ref="E53:F53"/>
    <mergeCell ref="G53:H53"/>
    <mergeCell ref="AK1:AL1"/>
    <mergeCell ref="E41:F41"/>
    <mergeCell ref="E28:H28"/>
    <mergeCell ref="E29:H29"/>
    <mergeCell ref="E30:H30"/>
    <mergeCell ref="E31:H31"/>
    <mergeCell ref="E32:H32"/>
    <mergeCell ref="E33:H33"/>
    <mergeCell ref="E34:H34"/>
    <mergeCell ref="E35:H35"/>
    <mergeCell ref="E10:F10"/>
    <mergeCell ref="G41:H41"/>
    <mergeCell ref="E42:F42"/>
    <mergeCell ref="G42:H42"/>
    <mergeCell ref="E43:F43"/>
    <mergeCell ref="G43:H43"/>
    <mergeCell ref="E51:F51"/>
    <mergeCell ref="G51:H51"/>
    <mergeCell ref="E40:F40"/>
    <mergeCell ref="G40:H40"/>
    <mergeCell ref="E48:F48"/>
    <mergeCell ref="G48:H48"/>
    <mergeCell ref="A6:H6"/>
    <mergeCell ref="A1:H1"/>
    <mergeCell ref="A2:H2"/>
    <mergeCell ref="A3:H3"/>
    <mergeCell ref="A4:H4"/>
    <mergeCell ref="A5:H5"/>
    <mergeCell ref="A10:A11"/>
    <mergeCell ref="G10:H10"/>
    <mergeCell ref="E39:F39"/>
    <mergeCell ref="G39:H39"/>
    <mergeCell ref="B33:D33"/>
    <mergeCell ref="B34:D34"/>
    <mergeCell ref="A39:D39"/>
    <mergeCell ref="B32:D32"/>
    <mergeCell ref="B24:D24"/>
    <mergeCell ref="B10:D11"/>
    <mergeCell ref="G44:H44"/>
    <mergeCell ref="E45:F45"/>
    <mergeCell ref="G45:H45"/>
    <mergeCell ref="E46:F46"/>
    <mergeCell ref="B148:G148"/>
    <mergeCell ref="I148:L148"/>
    <mergeCell ref="B149:G149"/>
    <mergeCell ref="I149:L149"/>
    <mergeCell ref="B151:G151"/>
    <mergeCell ref="I151:L151"/>
    <mergeCell ref="B152:G152"/>
    <mergeCell ref="I152:L152"/>
    <mergeCell ref="A114:B114"/>
    <mergeCell ref="A115:B115"/>
    <mergeCell ref="B129:L130"/>
    <mergeCell ref="B131:F131"/>
    <mergeCell ref="B143:G143"/>
    <mergeCell ref="B132:L132"/>
    <mergeCell ref="B134:G134"/>
    <mergeCell ref="I143:L143"/>
    <mergeCell ref="B138:G138"/>
    <mergeCell ref="I138:L138"/>
    <mergeCell ref="B140:E140"/>
    <mergeCell ref="I140:J140"/>
    <mergeCell ref="B141:G141"/>
    <mergeCell ref="I141:L141"/>
    <mergeCell ref="I134:L134"/>
    <mergeCell ref="B137:G137"/>
    <mergeCell ref="B164:G164"/>
    <mergeCell ref="I164:L164"/>
    <mergeCell ref="E165:F165"/>
    <mergeCell ref="J165:K165"/>
    <mergeCell ref="B154:G154"/>
    <mergeCell ref="I154:L154"/>
    <mergeCell ref="AM154:AM162"/>
    <mergeCell ref="B155:G155"/>
    <mergeCell ref="I155:L155"/>
    <mergeCell ref="B157:G157"/>
    <mergeCell ref="I157:L157"/>
    <mergeCell ref="B158:G158"/>
    <mergeCell ref="I158:L158"/>
    <mergeCell ref="B161:G161"/>
    <mergeCell ref="I161:L161"/>
    <mergeCell ref="E162:F162"/>
    <mergeCell ref="J162:K162"/>
    <mergeCell ref="AL175:AL182"/>
    <mergeCell ref="AM175:AM178"/>
    <mergeCell ref="B179:G179"/>
    <mergeCell ref="I179:L179"/>
    <mergeCell ref="AM179:AM182"/>
    <mergeCell ref="AM145:AM153"/>
    <mergeCell ref="B146:G146"/>
    <mergeCell ref="I146:L146"/>
    <mergeCell ref="AL167:AL174"/>
    <mergeCell ref="AM167:AM170"/>
    <mergeCell ref="E168:F168"/>
    <mergeCell ref="J168:K168"/>
    <mergeCell ref="B170:G170"/>
    <mergeCell ref="I170:L170"/>
    <mergeCell ref="E171:F171"/>
    <mergeCell ref="J171:K171"/>
    <mergeCell ref="AM171:AM174"/>
    <mergeCell ref="B173:G173"/>
    <mergeCell ref="I173:L173"/>
    <mergeCell ref="B167:G167"/>
    <mergeCell ref="I167:L167"/>
    <mergeCell ref="B145:G145"/>
    <mergeCell ref="I145:L145"/>
    <mergeCell ref="AM163:AM166"/>
    <mergeCell ref="S197:U197"/>
    <mergeCell ref="V197:X197"/>
    <mergeCell ref="B198:G198"/>
    <mergeCell ref="V198:X198"/>
    <mergeCell ref="B199:G199"/>
    <mergeCell ref="AM183:AM185"/>
    <mergeCell ref="B184:E184"/>
    <mergeCell ref="I184:J184"/>
    <mergeCell ref="B186:L186"/>
    <mergeCell ref="E191:F191"/>
    <mergeCell ref="A87:H87"/>
    <mergeCell ref="F85:H86"/>
    <mergeCell ref="F84:H84"/>
    <mergeCell ref="I137:L137"/>
    <mergeCell ref="V212:X212"/>
    <mergeCell ref="J228:K228"/>
    <mergeCell ref="V207:X207"/>
    <mergeCell ref="V208:X208"/>
    <mergeCell ref="V209:X209"/>
    <mergeCell ref="V210:X210"/>
    <mergeCell ref="V211:X211"/>
    <mergeCell ref="B202:G202"/>
    <mergeCell ref="V202:X202"/>
    <mergeCell ref="Q203:R203"/>
    <mergeCell ref="V203:X203"/>
    <mergeCell ref="S206:U206"/>
    <mergeCell ref="V206:X206"/>
    <mergeCell ref="Q212:R212"/>
    <mergeCell ref="V199:X199"/>
    <mergeCell ref="V200:X200"/>
    <mergeCell ref="B201:E201"/>
    <mergeCell ref="V201:X201"/>
    <mergeCell ref="B195:G195"/>
    <mergeCell ref="B196:G196"/>
  </mergeCells>
  <conditionalFormatting sqref="E29:E35">
    <cfRule type="cellIs" dxfId="59" priority="8" operator="equal">
      <formula>""</formula>
    </cfRule>
  </conditionalFormatting>
  <conditionalFormatting sqref="E40:H48">
    <cfRule type="cellIs" dxfId="58" priority="25" operator="equal">
      <formula>""</formula>
    </cfRule>
  </conditionalFormatting>
  <conditionalFormatting sqref="E49">
    <cfRule type="cellIs" dxfId="57" priority="24" operator="equal">
      <formula>""</formula>
    </cfRule>
  </conditionalFormatting>
  <conditionalFormatting sqref="G49">
    <cfRule type="cellIs" dxfId="56" priority="23" operator="equal">
      <formula>""</formula>
    </cfRule>
  </conditionalFormatting>
  <conditionalFormatting sqref="E52:H54">
    <cfRule type="cellIs" dxfId="55" priority="22" operator="equal">
      <formula>""</formula>
    </cfRule>
  </conditionalFormatting>
  <conditionalFormatting sqref="E69:F69">
    <cfRule type="cellIs" dxfId="54" priority="21" operator="equal">
      <formula>""</formula>
    </cfRule>
  </conditionalFormatting>
  <conditionalFormatting sqref="E70:F70">
    <cfRule type="cellIs" dxfId="53" priority="20" operator="equal">
      <formula>""</formula>
    </cfRule>
  </conditionalFormatting>
  <conditionalFormatting sqref="G69:H69">
    <cfRule type="cellIs" dxfId="52" priority="19" operator="equal">
      <formula>""</formula>
    </cfRule>
  </conditionalFormatting>
  <conditionalFormatting sqref="G70:H70">
    <cfRule type="cellIs" dxfId="51" priority="18" operator="equal">
      <formula>""</formula>
    </cfRule>
  </conditionalFormatting>
  <conditionalFormatting sqref="E12:E23">
    <cfRule type="cellIs" dxfId="50" priority="15" operator="equal">
      <formula>""</formula>
    </cfRule>
  </conditionalFormatting>
  <conditionalFormatting sqref="B24 E24">
    <cfRule type="cellIs" dxfId="49" priority="14" operator="equal">
      <formula>""</formula>
    </cfRule>
  </conditionalFormatting>
  <conditionalFormatting sqref="G12:G24">
    <cfRule type="cellIs" dxfId="48" priority="13" operator="equal">
      <formula>""</formula>
    </cfRule>
  </conditionalFormatting>
  <conditionalFormatting sqref="F24">
    <cfRule type="cellIs" dxfId="47" priority="12" operator="equal">
      <formula>""</formula>
    </cfRule>
  </conditionalFormatting>
  <conditionalFormatting sqref="B35">
    <cfRule type="cellIs" dxfId="46" priority="9" operator="equal">
      <formula>""</formula>
    </cfRule>
  </conditionalFormatting>
  <conditionalFormatting sqref="H12:H24">
    <cfRule type="cellIs" dxfId="45" priority="6" operator="equal">
      <formula>""</formula>
    </cfRule>
  </conditionalFormatting>
  <conditionalFormatting sqref="A5:H5">
    <cfRule type="cellIs" dxfId="44" priority="5" operator="equal">
      <formula>""</formula>
    </cfRule>
  </conditionalFormatting>
  <conditionalFormatting sqref="F20">
    <cfRule type="cellIs" dxfId="43" priority="4" operator="equal">
      <formula>""</formula>
    </cfRule>
  </conditionalFormatting>
  <conditionalFormatting sqref="F21">
    <cfRule type="cellIs" dxfId="42" priority="3" operator="equal">
      <formula>""</formula>
    </cfRule>
  </conditionalFormatting>
  <conditionalFormatting sqref="F22">
    <cfRule type="cellIs" dxfId="41" priority="2" operator="equal">
      <formula>""</formula>
    </cfRule>
  </conditionalFormatting>
  <conditionalFormatting sqref="F23">
    <cfRule type="cellIs" dxfId="40" priority="1" operator="equal">
      <formula>""</formula>
    </cfRule>
  </conditionalFormatting>
  <dataValidations disablePrompts="1" count="21">
    <dataValidation type="list" allowBlank="1" showInputMessage="1" showErrorMessage="1" sqref="G70:H70" xr:uid="{00000000-0002-0000-0400-000001000000}">
      <formula1>$L$253:$L$277</formula1>
    </dataValidation>
    <dataValidation type="list" allowBlank="1" showInputMessage="1" showErrorMessage="1" sqref="G69:H69" xr:uid="{00000000-0002-0000-0400-000002000000}">
      <formula1>$F$250:$F$263</formula1>
    </dataValidation>
    <dataValidation type="list" allowBlank="1" showInputMessage="1" showErrorMessage="1" sqref="E70:F70" xr:uid="{00000000-0002-0000-0400-000003000000}">
      <formula1>$J$253:$J$277</formula1>
    </dataValidation>
    <dataValidation type="list" allowBlank="1" showInputMessage="1" showErrorMessage="1" sqref="E69:F69" xr:uid="{00000000-0002-0000-0400-000004000000}">
      <formula1>$B$250:$B$263</formula1>
    </dataValidation>
    <dataValidation type="list" allowBlank="1" showInputMessage="1" showErrorMessage="1" sqref="E40:H40" xr:uid="{00000000-0002-0000-0400-000005000000}">
      <formula1>$T$132:$T$139</formula1>
    </dataValidation>
    <dataValidation type="list" allowBlank="1" showInputMessage="1" showErrorMessage="1" sqref="G47" xr:uid="{00000000-0002-0000-0400-000006000000}">
      <formula1>$T$179:$T$182</formula1>
    </dataValidation>
    <dataValidation type="list" allowBlank="1" showInputMessage="1" showErrorMessage="1" sqref="E47" xr:uid="{00000000-0002-0000-0400-000007000000}">
      <formula1>$T$170:$T$173</formula1>
    </dataValidation>
    <dataValidation type="decimal" operator="greaterThanOrEqual" allowBlank="1" showInputMessage="1" showErrorMessage="1" error="Wymagana wartość liczbowa" sqref="E48:H48 E52:H54" xr:uid="{00000000-0002-0000-0400-000008000000}">
      <formula1>0</formula1>
    </dataValidation>
    <dataValidation type="list" allowBlank="1" showInputMessage="1" showErrorMessage="1" sqref="E42:F42" xr:uid="{00000000-0002-0000-0400-000009000000}">
      <formula1>$W$133:$W$134</formula1>
    </dataValidation>
    <dataValidation type="list" allowBlank="1" showInputMessage="1" showErrorMessage="1" sqref="G42:H42" xr:uid="{00000000-0002-0000-0400-00000A000000}">
      <formula1>$W$137:$W$138</formula1>
    </dataValidation>
    <dataValidation type="decimal" allowBlank="1" showInputMessage="1" showErrorMessage="1" error="Należy wprowadzić prawidłową wartość współczynnika przenikania U" sqref="G12:G23" xr:uid="{00000000-0002-0000-0400-000015000000}">
      <formula1>0</formula1>
      <formula2>10</formula2>
    </dataValidation>
    <dataValidation type="decimal" allowBlank="1" showInputMessage="1" showErrorMessage="1" sqref="G24" xr:uid="{00000000-0002-0000-0400-000016000000}">
      <formula1>0</formula1>
      <formula2>10</formula2>
    </dataValidation>
    <dataValidation type="decimal" operator="greaterThan" allowBlank="1" showInputMessage="1" showErrorMessage="1" error="Należy wprowadzić prawidłową wartość współczynnika przenikania U" sqref="H12:H24" xr:uid="{0ADA6122-A89E-4CEB-82B1-A66642C25D4F}">
      <formula1>0</formula1>
    </dataValidation>
    <dataValidation type="list" allowBlank="1" showInputMessage="1" showErrorMessage="1" sqref="E43:F43" xr:uid="{00000000-0002-0000-0400-00000B000000}">
      <formula1>IF(O144=0,$E$43,IF($O$144=1,$T$168,IF($O$144&lt;=3,$W$143:$W$144,IF($O$144&lt;=6,$T$168,$W$143:$W$144))))</formula1>
    </dataValidation>
    <dataValidation type="list" allowBlank="1" showInputMessage="1" showErrorMessage="1" sqref="E44:F44" xr:uid="{00000000-0002-0000-0400-00000C000000}">
      <formula1>IF(O144=0,$E$44,IF($O$144&lt;=4,$T$168,IF($O$144&lt;=6,$T$154:$T$155,$T$168)))</formula1>
    </dataValidation>
    <dataValidation type="list" allowBlank="1" showInputMessage="1" showErrorMessage="1" sqref="E45:F45" xr:uid="{00000000-0002-0000-0400-00000D000000}">
      <formula1>IF(O151=0,$E$45,IF($O$151&lt;2020,$T$168,IF($O$151&lt;3010,$W$146:$W$147,IF($O$151=3010,$T$168,IF($O$151=3020,$W$146:$W$147,$T$168)))))</formula1>
    </dataValidation>
    <dataValidation type="list" allowBlank="1" showInputMessage="1" showErrorMessage="1" sqref="E46:F46" xr:uid="{00000000-0002-0000-0400-00000E000000}">
      <formula1>IF(O151=0,$E$46,IF($O$151&lt;2020,$T$168,IF($O$151&lt;3010,$W$149:$W$150,IF($O$151=3010,$T$168,IF($O$151=3020,$W$149:$W$150,$T$168)))))</formula1>
    </dataValidation>
    <dataValidation type="list" allowBlank="1" showInputMessage="1" showErrorMessage="1" sqref="G43:H43" xr:uid="{00000000-0002-0000-0400-00000F000000}">
      <formula1>IF(Q144=0,$G$43,IF($Q$144=1,$T$168,IF($Q$144&lt;=3,$W$143:$W$144,IF($Q$144&lt;=6,$T$168,$W$143:$W$144))))</formula1>
    </dataValidation>
    <dataValidation type="list" allowBlank="1" showInputMessage="1" showErrorMessage="1" sqref="G44:H44" xr:uid="{00000000-0002-0000-0400-000010000000}">
      <formula1>IF(Q144=0,$G$44,IF($Q$144&lt;=4,$T$168,IF($Q$144&lt;=6,$T$154:$T$155,$T$168)))</formula1>
    </dataValidation>
    <dataValidation type="list" allowBlank="1" showInputMessage="1" showErrorMessage="1" sqref="G45:H45" xr:uid="{00000000-0002-0000-0400-000011000000}">
      <formula1>IF(Q151=0,$G$45,IF($Q$151&lt;2020,$T$168,IF($Q$151&lt;3010,$W$146:$W$147,IF($Q$151=3010,$T$168,IF($Q$151=3020,$W$146:$W$147,$T$168)))))</formula1>
    </dataValidation>
    <dataValidation type="list" allowBlank="1" showInputMessage="1" showErrorMessage="1" sqref="G46:H46" xr:uid="{00000000-0002-0000-0400-000012000000}">
      <formula1>IF(Q151=0,$G$46,IF($Q$151&lt;2020,$T$168,IF($Q$151&lt;3010,$W$149:$W$150,IF($Q$151=3010,$T$168,IF($Q$151=3020,$W$149:$W$150,$T$168)))))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&amp;C&amp;"Arial,Normalny"&amp;8Strona &amp;P z &amp;N&amp;R&amp;"Arial,Normalny"&amp;8v2023-1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AY197"/>
  <sheetViews>
    <sheetView zoomScaleNormal="100" zoomScaleSheetLayoutView="100" workbookViewId="0">
      <selection activeCell="A5" sqref="A5:O5"/>
    </sheetView>
  </sheetViews>
  <sheetFormatPr defaultColWidth="9" defaultRowHeight="14.25"/>
  <cols>
    <col min="1" max="1" width="3.625" style="38" customWidth="1"/>
    <col min="2" max="2" width="6.125" style="38" customWidth="1"/>
    <col min="3" max="5" width="6.75" style="38" customWidth="1"/>
    <col min="6" max="6" width="5.375" style="38" customWidth="1"/>
    <col min="7" max="7" width="4.5" style="38" customWidth="1"/>
    <col min="8" max="8" width="4.625" style="38" customWidth="1"/>
    <col min="9" max="10" width="3.625" style="38" customWidth="1"/>
    <col min="11" max="11" width="4.75" style="38" customWidth="1"/>
    <col min="12" max="12" width="5.375" style="38" customWidth="1"/>
    <col min="13" max="13" width="3.5" style="38" customWidth="1"/>
    <col min="14" max="20" width="3.625" style="38" customWidth="1"/>
    <col min="21" max="16384" width="9" style="38"/>
  </cols>
  <sheetData>
    <row r="1" spans="1:51" ht="15">
      <c r="A1" s="250" t="s">
        <v>222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</row>
    <row r="2" spans="1:51" ht="16.5">
      <c r="A2" s="254" t="s">
        <v>358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</row>
    <row r="3" spans="1:51">
      <c r="A3" s="254" t="s">
        <v>212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</row>
    <row r="4" spans="1:51" ht="11.25" customHeight="1">
      <c r="A4" s="256" t="s">
        <v>304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44"/>
      <c r="Q4" s="44"/>
      <c r="R4" s="44"/>
      <c r="S4" s="44"/>
      <c r="T4" s="39"/>
      <c r="U4" s="44"/>
      <c r="V4" s="44"/>
      <c r="W4" s="44"/>
      <c r="X4" s="44"/>
      <c r="Y4" s="44"/>
      <c r="Z4" s="44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</row>
    <row r="5" spans="1:51" ht="45" customHeight="1">
      <c r="A5" s="255"/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</row>
    <row r="6" spans="1:51">
      <c r="A6" s="256" t="s">
        <v>223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</row>
    <row r="7" spans="1:51">
      <c r="A7" s="180" t="s">
        <v>224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51" ht="3.75" customHeight="1"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51">
      <c r="A9" s="339" t="s">
        <v>167</v>
      </c>
      <c r="B9" s="339"/>
      <c r="C9" s="339"/>
      <c r="D9" s="339"/>
      <c r="E9" s="339"/>
      <c r="F9" s="340" t="s">
        <v>225</v>
      </c>
      <c r="G9" s="341"/>
      <c r="H9" s="341"/>
      <c r="I9" s="341"/>
      <c r="J9" s="342"/>
      <c r="K9" s="340" t="s">
        <v>226</v>
      </c>
      <c r="L9" s="341"/>
      <c r="M9" s="341"/>
      <c r="N9" s="341"/>
      <c r="O9" s="342"/>
    </row>
    <row r="10" spans="1:51" ht="26.25" customHeight="1">
      <c r="A10" s="297" t="s">
        <v>227</v>
      </c>
      <c r="B10" s="298"/>
      <c r="C10" s="298"/>
      <c r="D10" s="298"/>
      <c r="E10" s="299"/>
      <c r="F10" s="346"/>
      <c r="G10" s="347"/>
      <c r="H10" s="347"/>
      <c r="I10" s="347"/>
      <c r="J10" s="348"/>
      <c r="K10" s="346"/>
      <c r="L10" s="347"/>
      <c r="M10" s="347"/>
      <c r="N10" s="347"/>
      <c r="O10" s="348"/>
    </row>
    <row r="11" spans="1:51" ht="15" customHeight="1">
      <c r="A11" s="343" t="s">
        <v>280</v>
      </c>
      <c r="B11" s="343"/>
      <c r="C11" s="343"/>
      <c r="D11" s="343"/>
      <c r="E11" s="343"/>
      <c r="F11" s="344"/>
      <c r="G11" s="344"/>
      <c r="H11" s="344"/>
      <c r="I11" s="344"/>
      <c r="J11" s="344"/>
      <c r="K11" s="344"/>
      <c r="L11" s="344"/>
      <c r="M11" s="344"/>
      <c r="N11" s="344"/>
      <c r="O11" s="344"/>
    </row>
    <row r="12" spans="1:51" ht="15" hidden="1" customHeight="1">
      <c r="A12" s="343" t="s">
        <v>277</v>
      </c>
      <c r="B12" s="343"/>
      <c r="C12" s="343"/>
      <c r="D12" s="343"/>
      <c r="E12" s="343"/>
      <c r="F12" s="344"/>
      <c r="G12" s="344"/>
      <c r="H12" s="344"/>
      <c r="I12" s="344"/>
      <c r="J12" s="344"/>
      <c r="K12" s="344"/>
      <c r="L12" s="344"/>
      <c r="M12" s="344"/>
      <c r="N12" s="344"/>
      <c r="O12" s="344"/>
    </row>
    <row r="13" spans="1:51" ht="30" customHeight="1">
      <c r="A13" s="345" t="s">
        <v>228</v>
      </c>
      <c r="B13" s="345"/>
      <c r="C13" s="345"/>
      <c r="D13" s="345"/>
      <c r="E13" s="345"/>
      <c r="F13" s="344"/>
      <c r="G13" s="344"/>
      <c r="H13" s="344"/>
      <c r="I13" s="344"/>
      <c r="J13" s="344"/>
      <c r="K13" s="344"/>
      <c r="L13" s="344"/>
      <c r="M13" s="344"/>
      <c r="N13" s="344"/>
      <c r="O13" s="344"/>
    </row>
    <row r="14" spans="1:51" ht="15" customHeight="1">
      <c r="A14" s="297" t="s">
        <v>381</v>
      </c>
      <c r="B14" s="298"/>
      <c r="C14" s="298"/>
      <c r="D14" s="298"/>
      <c r="E14" s="299"/>
      <c r="F14" s="344"/>
      <c r="G14" s="344"/>
      <c r="H14" s="344"/>
      <c r="I14" s="344"/>
      <c r="J14" s="344"/>
      <c r="K14" s="344"/>
      <c r="L14" s="344"/>
      <c r="M14" s="344"/>
      <c r="N14" s="344"/>
      <c r="O14" s="344"/>
    </row>
    <row r="15" spans="1:51" ht="14.25" customHeight="1">
      <c r="A15" s="352" t="s">
        <v>295</v>
      </c>
      <c r="B15" s="353"/>
      <c r="C15" s="353"/>
      <c r="D15" s="353"/>
      <c r="E15" s="354"/>
      <c r="F15" s="366"/>
      <c r="G15" s="367"/>
      <c r="H15" s="367"/>
      <c r="I15" s="367"/>
      <c r="J15" s="368"/>
      <c r="K15" s="344"/>
      <c r="L15" s="344"/>
      <c r="M15" s="344"/>
      <c r="N15" s="344"/>
      <c r="O15" s="344"/>
    </row>
    <row r="16" spans="1:51" ht="43.5" customHeight="1">
      <c r="A16" s="355"/>
      <c r="B16" s="356"/>
      <c r="C16" s="356"/>
      <c r="D16" s="356"/>
      <c r="E16" s="357"/>
      <c r="F16" s="369"/>
      <c r="G16" s="370"/>
      <c r="H16" s="370"/>
      <c r="I16" s="370"/>
      <c r="J16" s="371"/>
      <c r="K16" s="372" t="s">
        <v>268</v>
      </c>
      <c r="L16" s="373"/>
      <c r="M16" s="181" t="s">
        <v>296</v>
      </c>
      <c r="N16" s="374" t="e">
        <f>(F15-K15)/F15</f>
        <v>#DIV/0!</v>
      </c>
      <c r="O16" s="375"/>
    </row>
    <row r="17" spans="1:15">
      <c r="A17" s="182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5">
      <c r="A18" s="145" t="s">
        <v>269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7"/>
    </row>
    <row r="19" spans="1:15" ht="4.5" customHeight="1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7"/>
    </row>
    <row r="20" spans="1:15" ht="28.5" customHeight="1">
      <c r="A20" s="358" t="s">
        <v>215</v>
      </c>
      <c r="B20" s="301" t="s">
        <v>291</v>
      </c>
      <c r="C20" s="302"/>
      <c r="D20" s="303"/>
      <c r="E20" s="295" t="s">
        <v>216</v>
      </c>
      <c r="F20" s="295"/>
      <c r="G20" s="295"/>
      <c r="H20" s="295"/>
      <c r="I20" s="295"/>
      <c r="J20" s="332" t="s">
        <v>374</v>
      </c>
      <c r="K20" s="333"/>
      <c r="L20" s="333"/>
      <c r="M20" s="333"/>
      <c r="N20" s="333"/>
      <c r="O20" s="334"/>
    </row>
    <row r="21" spans="1:15">
      <c r="A21" s="359"/>
      <c r="B21" s="360"/>
      <c r="C21" s="361"/>
      <c r="D21" s="362"/>
      <c r="E21" s="295" t="s">
        <v>375</v>
      </c>
      <c r="F21" s="295"/>
      <c r="G21" s="263" t="s">
        <v>306</v>
      </c>
      <c r="H21" s="263"/>
      <c r="I21" s="263"/>
      <c r="J21" s="332" t="s">
        <v>119</v>
      </c>
      <c r="K21" s="333"/>
      <c r="L21" s="334"/>
      <c r="M21" s="363" t="s">
        <v>120</v>
      </c>
      <c r="N21" s="364"/>
      <c r="O21" s="365"/>
    </row>
    <row r="22" spans="1:15" ht="15" customHeight="1">
      <c r="A22" s="157">
        <v>1</v>
      </c>
      <c r="B22" s="352" t="s">
        <v>288</v>
      </c>
      <c r="C22" s="353"/>
      <c r="D22" s="354"/>
      <c r="E22" s="350"/>
      <c r="F22" s="351"/>
      <c r="G22" s="376" t="s">
        <v>303</v>
      </c>
      <c r="H22" s="377"/>
      <c r="I22" s="378"/>
      <c r="J22" s="349"/>
      <c r="K22" s="350"/>
      <c r="L22" s="351"/>
      <c r="M22" s="349"/>
      <c r="N22" s="350"/>
      <c r="O22" s="351"/>
    </row>
    <row r="23" spans="1:15" ht="15" customHeight="1">
      <c r="A23" s="164"/>
      <c r="B23" s="183"/>
      <c r="C23" s="184"/>
      <c r="D23" s="185"/>
      <c r="E23" s="350"/>
      <c r="F23" s="351"/>
      <c r="G23" s="376" t="s">
        <v>303</v>
      </c>
      <c r="H23" s="377"/>
      <c r="I23" s="378"/>
      <c r="J23" s="349"/>
      <c r="K23" s="350"/>
      <c r="L23" s="351"/>
      <c r="M23" s="349"/>
      <c r="N23" s="350"/>
      <c r="O23" s="351"/>
    </row>
    <row r="24" spans="1:15" ht="15" customHeight="1">
      <c r="A24" s="164"/>
      <c r="B24" s="183"/>
      <c r="C24" s="184"/>
      <c r="D24" s="185"/>
      <c r="E24" s="350"/>
      <c r="F24" s="351"/>
      <c r="G24" s="376" t="s">
        <v>303</v>
      </c>
      <c r="H24" s="377"/>
      <c r="I24" s="378"/>
      <c r="J24" s="349"/>
      <c r="K24" s="350"/>
      <c r="L24" s="351"/>
      <c r="M24" s="349"/>
      <c r="N24" s="350"/>
      <c r="O24" s="351"/>
    </row>
    <row r="25" spans="1:15" ht="15" customHeight="1">
      <c r="A25" s="164"/>
      <c r="B25" s="127"/>
      <c r="C25" s="184"/>
      <c r="D25" s="185"/>
      <c r="E25" s="350"/>
      <c r="F25" s="351"/>
      <c r="G25" s="376" t="s">
        <v>303</v>
      </c>
      <c r="H25" s="377"/>
      <c r="I25" s="378"/>
      <c r="J25" s="349"/>
      <c r="K25" s="350"/>
      <c r="L25" s="351"/>
      <c r="M25" s="349"/>
      <c r="N25" s="350"/>
      <c r="O25" s="351"/>
    </row>
    <row r="26" spans="1:15" ht="15" customHeight="1">
      <c r="A26" s="167"/>
      <c r="B26" s="168" t="s">
        <v>376</v>
      </c>
      <c r="C26" s="130"/>
      <c r="D26" s="186">
        <f>SUM(E22:F26)</f>
        <v>0</v>
      </c>
      <c r="E26" s="350"/>
      <c r="F26" s="351"/>
      <c r="G26" s="376" t="s">
        <v>303</v>
      </c>
      <c r="H26" s="377"/>
      <c r="I26" s="378"/>
      <c r="J26" s="349"/>
      <c r="K26" s="350"/>
      <c r="L26" s="351"/>
      <c r="M26" s="349"/>
      <c r="N26" s="350"/>
      <c r="O26" s="351"/>
    </row>
    <row r="27" spans="1:15" ht="15" customHeight="1">
      <c r="A27" s="164">
        <v>2</v>
      </c>
      <c r="B27" s="389" t="s">
        <v>289</v>
      </c>
      <c r="C27" s="390"/>
      <c r="D27" s="391"/>
      <c r="E27" s="350"/>
      <c r="F27" s="351"/>
      <c r="G27" s="376" t="s">
        <v>303</v>
      </c>
      <c r="H27" s="377"/>
      <c r="I27" s="378"/>
      <c r="J27" s="349"/>
      <c r="K27" s="350"/>
      <c r="L27" s="351"/>
      <c r="M27" s="349"/>
      <c r="N27" s="350"/>
      <c r="O27" s="351"/>
    </row>
    <row r="28" spans="1:15" ht="15" customHeight="1">
      <c r="A28" s="164"/>
      <c r="B28" s="127"/>
      <c r="C28" s="184"/>
      <c r="D28" s="185"/>
      <c r="E28" s="350"/>
      <c r="F28" s="351"/>
      <c r="G28" s="376" t="s">
        <v>303</v>
      </c>
      <c r="H28" s="377"/>
      <c r="I28" s="378"/>
      <c r="J28" s="349"/>
      <c r="K28" s="350"/>
      <c r="L28" s="351"/>
      <c r="M28" s="349"/>
      <c r="N28" s="350"/>
      <c r="O28" s="351"/>
    </row>
    <row r="29" spans="1:15" ht="15" customHeight="1">
      <c r="A29" s="167"/>
      <c r="B29" s="168" t="s">
        <v>376</v>
      </c>
      <c r="C29" s="130"/>
      <c r="D29" s="186">
        <f>SUM(E27:F29)</f>
        <v>0</v>
      </c>
      <c r="E29" s="350"/>
      <c r="F29" s="351"/>
      <c r="G29" s="376" t="s">
        <v>303</v>
      </c>
      <c r="H29" s="377"/>
      <c r="I29" s="378"/>
      <c r="J29" s="349"/>
      <c r="K29" s="350"/>
      <c r="L29" s="351"/>
      <c r="M29" s="349"/>
      <c r="N29" s="350"/>
      <c r="O29" s="351"/>
    </row>
    <row r="30" spans="1:15" ht="30" customHeight="1">
      <c r="A30" s="164">
        <v>3</v>
      </c>
      <c r="B30" s="389" t="s">
        <v>382</v>
      </c>
      <c r="C30" s="390"/>
      <c r="D30" s="391"/>
      <c r="E30" s="350"/>
      <c r="F30" s="351"/>
      <c r="G30" s="349"/>
      <c r="H30" s="350"/>
      <c r="I30" s="351"/>
      <c r="J30" s="349"/>
      <c r="K30" s="350"/>
      <c r="L30" s="351"/>
      <c r="M30" s="349"/>
      <c r="N30" s="350"/>
      <c r="O30" s="351"/>
    </row>
    <row r="31" spans="1:15" ht="30" customHeight="1">
      <c r="A31" s="167"/>
      <c r="B31" s="168"/>
      <c r="C31" s="187">
        <f>SUM(E30:F31)</f>
        <v>0</v>
      </c>
      <c r="D31" s="186">
        <f>SUM(G30:I31)</f>
        <v>0</v>
      </c>
      <c r="E31" s="350"/>
      <c r="F31" s="351"/>
      <c r="G31" s="349"/>
      <c r="H31" s="350"/>
      <c r="I31" s="351"/>
      <c r="J31" s="349"/>
      <c r="K31" s="350"/>
      <c r="L31" s="351"/>
      <c r="M31" s="349"/>
      <c r="N31" s="350"/>
      <c r="O31" s="351"/>
    </row>
    <row r="32" spans="1:15" ht="30" customHeight="1">
      <c r="A32" s="164">
        <v>4</v>
      </c>
      <c r="B32" s="389" t="s">
        <v>383</v>
      </c>
      <c r="C32" s="390"/>
      <c r="D32" s="391"/>
      <c r="E32" s="350"/>
      <c r="F32" s="351"/>
      <c r="G32" s="349"/>
      <c r="H32" s="350"/>
      <c r="I32" s="351"/>
      <c r="J32" s="349"/>
      <c r="K32" s="350"/>
      <c r="L32" s="351"/>
      <c r="M32" s="349"/>
      <c r="N32" s="350"/>
      <c r="O32" s="351"/>
    </row>
    <row r="33" spans="1:15" ht="30" customHeight="1">
      <c r="A33" s="116"/>
      <c r="B33" s="168"/>
      <c r="C33" s="187">
        <f>SUM(E32:F33)</f>
        <v>0</v>
      </c>
      <c r="D33" s="186">
        <f>SUM(G32:I33)</f>
        <v>0</v>
      </c>
      <c r="E33" s="350"/>
      <c r="F33" s="351"/>
      <c r="G33" s="349"/>
      <c r="H33" s="350"/>
      <c r="I33" s="351"/>
      <c r="J33" s="349"/>
      <c r="K33" s="350"/>
      <c r="L33" s="351"/>
      <c r="M33" s="349"/>
      <c r="N33" s="350"/>
      <c r="O33" s="351"/>
    </row>
    <row r="34" spans="1:15" ht="30" customHeight="1">
      <c r="A34" s="167">
        <v>5</v>
      </c>
      <c r="B34" s="392"/>
      <c r="C34" s="392"/>
      <c r="D34" s="392"/>
      <c r="E34" s="350"/>
      <c r="F34" s="351"/>
      <c r="G34" s="349"/>
      <c r="H34" s="350"/>
      <c r="I34" s="351"/>
      <c r="J34" s="349"/>
      <c r="K34" s="350"/>
      <c r="L34" s="351"/>
      <c r="M34" s="349"/>
      <c r="N34" s="350"/>
      <c r="O34" s="351"/>
    </row>
    <row r="35" spans="1:15" ht="9" customHeight="1"/>
    <row r="36" spans="1:15" hidden="1"/>
    <row r="37" spans="1:15" hidden="1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7"/>
    </row>
    <row r="38" spans="1:15">
      <c r="A38" s="145" t="s">
        <v>270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7"/>
    </row>
    <row r="39" spans="1:15" ht="2.25" customHeight="1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7"/>
    </row>
    <row r="40" spans="1:15" ht="40.5" customHeight="1">
      <c r="A40" s="176" t="s">
        <v>215</v>
      </c>
      <c r="B40" s="386" t="s">
        <v>292</v>
      </c>
      <c r="C40" s="387"/>
      <c r="D40" s="388"/>
      <c r="E40" s="263" t="s">
        <v>218</v>
      </c>
      <c r="F40" s="263"/>
      <c r="G40" s="263"/>
      <c r="H40" s="263"/>
      <c r="I40" s="263"/>
      <c r="J40" s="263"/>
      <c r="K40" s="263"/>
      <c r="L40" s="263"/>
      <c r="M40" s="263"/>
      <c r="N40" s="263"/>
      <c r="O40" s="263"/>
    </row>
    <row r="41" spans="1:15" ht="43.5" customHeight="1">
      <c r="A41" s="60">
        <v>6</v>
      </c>
      <c r="B41" s="281" t="s">
        <v>298</v>
      </c>
      <c r="C41" s="385"/>
      <c r="D41" s="282"/>
      <c r="E41" s="349"/>
      <c r="F41" s="350"/>
      <c r="G41" s="350"/>
      <c r="H41" s="350"/>
      <c r="I41" s="350"/>
      <c r="J41" s="350"/>
      <c r="K41" s="350"/>
      <c r="L41" s="350"/>
      <c r="M41" s="350"/>
      <c r="N41" s="350"/>
      <c r="O41" s="351"/>
    </row>
    <row r="42" spans="1:15" ht="43.5" customHeight="1">
      <c r="A42" s="60">
        <v>7</v>
      </c>
      <c r="B42" s="264" t="s">
        <v>299</v>
      </c>
      <c r="C42" s="296"/>
      <c r="D42" s="265"/>
      <c r="E42" s="349"/>
      <c r="F42" s="350"/>
      <c r="G42" s="350"/>
      <c r="H42" s="350"/>
      <c r="I42" s="350"/>
      <c r="J42" s="350"/>
      <c r="K42" s="350"/>
      <c r="L42" s="350"/>
      <c r="M42" s="350"/>
      <c r="N42" s="350"/>
      <c r="O42" s="351"/>
    </row>
    <row r="43" spans="1:15" ht="43.5" customHeight="1">
      <c r="A43" s="60">
        <v>8</v>
      </c>
      <c r="B43" s="264" t="s">
        <v>300</v>
      </c>
      <c r="C43" s="296"/>
      <c r="D43" s="265"/>
      <c r="E43" s="349"/>
      <c r="F43" s="350"/>
      <c r="G43" s="350"/>
      <c r="H43" s="350"/>
      <c r="I43" s="350"/>
      <c r="J43" s="350"/>
      <c r="K43" s="350"/>
      <c r="L43" s="350"/>
      <c r="M43" s="350"/>
      <c r="N43" s="350"/>
      <c r="O43" s="351"/>
    </row>
    <row r="44" spans="1:15" ht="43.5" customHeight="1">
      <c r="A44" s="60">
        <v>9</v>
      </c>
      <c r="B44" s="264" t="s">
        <v>377</v>
      </c>
      <c r="C44" s="296"/>
      <c r="D44" s="265"/>
      <c r="E44" s="349"/>
      <c r="F44" s="350"/>
      <c r="G44" s="350"/>
      <c r="H44" s="350"/>
      <c r="I44" s="350"/>
      <c r="J44" s="350"/>
      <c r="K44" s="350"/>
      <c r="L44" s="350"/>
      <c r="M44" s="350"/>
      <c r="N44" s="350"/>
      <c r="O44" s="351"/>
    </row>
    <row r="45" spans="1:15" ht="43.5" customHeight="1">
      <c r="A45" s="60">
        <v>10</v>
      </c>
      <c r="B45" s="264" t="s">
        <v>219</v>
      </c>
      <c r="C45" s="296"/>
      <c r="D45" s="265"/>
      <c r="E45" s="349"/>
      <c r="F45" s="350"/>
      <c r="G45" s="350"/>
      <c r="H45" s="350"/>
      <c r="I45" s="350"/>
      <c r="J45" s="350"/>
      <c r="K45" s="350"/>
      <c r="L45" s="350"/>
      <c r="M45" s="350"/>
      <c r="N45" s="350"/>
      <c r="O45" s="351"/>
    </row>
    <row r="46" spans="1:15" ht="43.5" customHeight="1">
      <c r="A46" s="60">
        <v>11</v>
      </c>
      <c r="B46" s="264" t="s">
        <v>220</v>
      </c>
      <c r="C46" s="296"/>
      <c r="D46" s="265"/>
      <c r="E46" s="349"/>
      <c r="F46" s="350"/>
      <c r="G46" s="350"/>
      <c r="H46" s="350"/>
      <c r="I46" s="350"/>
      <c r="J46" s="350"/>
      <c r="K46" s="350"/>
      <c r="L46" s="350"/>
      <c r="M46" s="350"/>
      <c r="N46" s="350"/>
      <c r="O46" s="351"/>
    </row>
    <row r="47" spans="1:15" ht="43.5" customHeight="1">
      <c r="A47" s="60">
        <v>12</v>
      </c>
      <c r="B47" s="382" t="s">
        <v>242</v>
      </c>
      <c r="C47" s="383"/>
      <c r="D47" s="384"/>
      <c r="E47" s="349"/>
      <c r="F47" s="350"/>
      <c r="G47" s="350"/>
      <c r="H47" s="350"/>
      <c r="I47" s="350"/>
      <c r="J47" s="350"/>
      <c r="K47" s="350"/>
      <c r="L47" s="350"/>
      <c r="M47" s="350"/>
      <c r="N47" s="350"/>
      <c r="O47" s="351"/>
    </row>
    <row r="48" spans="1:15">
      <c r="A48" s="188"/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47"/>
    </row>
    <row r="49" spans="1:15" ht="18.75">
      <c r="A49" s="52" t="s">
        <v>384</v>
      </c>
      <c r="B49" s="52"/>
      <c r="C49" s="52"/>
      <c r="D49" s="52"/>
      <c r="E49" s="43"/>
      <c r="F49" s="43"/>
      <c r="G49" s="43"/>
      <c r="H49" s="43"/>
      <c r="I49" s="43"/>
      <c r="J49" s="43"/>
      <c r="K49" s="43"/>
      <c r="L49" s="43"/>
      <c r="M49" s="43"/>
      <c r="N49" s="43"/>
    </row>
    <row r="50" spans="1:15" ht="3.75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</row>
    <row r="51" spans="1:15">
      <c r="A51" s="189" t="s">
        <v>167</v>
      </c>
      <c r="B51" s="190"/>
      <c r="C51" s="190"/>
      <c r="D51" s="190"/>
      <c r="E51" s="191"/>
      <c r="F51" s="253" t="s">
        <v>168</v>
      </c>
      <c r="G51" s="253"/>
      <c r="H51" s="253"/>
      <c r="I51" s="253"/>
      <c r="J51" s="253"/>
      <c r="K51" s="253" t="s">
        <v>112</v>
      </c>
      <c r="L51" s="253"/>
      <c r="M51" s="253"/>
      <c r="N51" s="253"/>
      <c r="O51" s="253"/>
    </row>
    <row r="52" spans="1:15" ht="42.75" customHeight="1">
      <c r="A52" s="296" t="s">
        <v>229</v>
      </c>
      <c r="B52" s="296"/>
      <c r="C52" s="296"/>
      <c r="D52" s="296"/>
      <c r="E52" s="265"/>
      <c r="F52" s="396"/>
      <c r="G52" s="397"/>
      <c r="H52" s="397"/>
      <c r="I52" s="397"/>
      <c r="J52" s="398"/>
      <c r="K52" s="396"/>
      <c r="L52" s="397"/>
      <c r="M52" s="397"/>
      <c r="N52" s="397"/>
      <c r="O52" s="398"/>
    </row>
    <row r="53" spans="1:15" ht="23.25" customHeight="1">
      <c r="A53" s="192" t="s">
        <v>183</v>
      </c>
      <c r="B53" s="193"/>
      <c r="C53" s="193"/>
      <c r="D53" s="193"/>
      <c r="E53" s="126"/>
      <c r="F53" s="394"/>
      <c r="G53" s="394"/>
      <c r="H53" s="394"/>
      <c r="I53" s="394"/>
      <c r="J53" s="394"/>
      <c r="K53" s="394"/>
      <c r="L53" s="394"/>
      <c r="M53" s="394"/>
      <c r="N53" s="394"/>
      <c r="O53" s="394"/>
    </row>
    <row r="54" spans="1:15">
      <c r="A54" s="194" t="s">
        <v>230</v>
      </c>
      <c r="B54" s="195"/>
      <c r="C54" s="195"/>
      <c r="D54" s="195"/>
      <c r="E54" s="196"/>
      <c r="F54" s="289">
        <f>F15</f>
        <v>0</v>
      </c>
      <c r="G54" s="289"/>
      <c r="H54" s="289"/>
      <c r="I54" s="289"/>
      <c r="J54" s="289"/>
      <c r="K54" s="395">
        <f>K15</f>
        <v>0</v>
      </c>
      <c r="L54" s="395"/>
      <c r="M54" s="395"/>
      <c r="N54" s="395"/>
      <c r="O54" s="395"/>
    </row>
    <row r="55" spans="1:15">
      <c r="A55" s="189" t="s">
        <v>198</v>
      </c>
      <c r="B55" s="190"/>
      <c r="C55" s="190"/>
      <c r="D55" s="190"/>
      <c r="E55" s="191"/>
      <c r="F55" s="253" t="str">
        <f>IF(F53&lt;&gt;"",VLOOKUP(H128,KOBIZE!T7:X57,5),"N/d")</f>
        <v>N/d</v>
      </c>
      <c r="G55" s="253"/>
      <c r="H55" s="253"/>
      <c r="I55" s="253"/>
      <c r="J55" s="253"/>
      <c r="K55" s="253" t="str">
        <f>IF(K53&lt;&gt;"",VLOOKUP(J128,KOBIZE!T7:X57,5),"N/d")</f>
        <v>N/d</v>
      </c>
      <c r="L55" s="253"/>
      <c r="M55" s="253"/>
      <c r="N55" s="253"/>
      <c r="O55" s="253"/>
    </row>
    <row r="57" spans="1:15">
      <c r="A57" s="323" t="s">
        <v>109</v>
      </c>
      <c r="B57" s="324"/>
      <c r="C57" s="324"/>
      <c r="D57" s="324"/>
      <c r="E57" s="325"/>
      <c r="F57" s="319" t="s">
        <v>110</v>
      </c>
      <c r="G57" s="320"/>
      <c r="H57" s="320"/>
      <c r="I57" s="320"/>
      <c r="J57" s="320"/>
      <c r="K57" s="321"/>
      <c r="L57" s="380" t="s">
        <v>111</v>
      </c>
      <c r="M57" s="393"/>
      <c r="N57" s="393"/>
      <c r="O57" s="381"/>
    </row>
    <row r="58" spans="1:15">
      <c r="A58" s="326"/>
      <c r="B58" s="327"/>
      <c r="C58" s="327"/>
      <c r="D58" s="327"/>
      <c r="E58" s="328"/>
      <c r="F58" s="319" t="s">
        <v>115</v>
      </c>
      <c r="G58" s="320"/>
      <c r="H58" s="321"/>
      <c r="I58" s="319" t="s">
        <v>112</v>
      </c>
      <c r="J58" s="320"/>
      <c r="K58" s="321"/>
      <c r="L58" s="319" t="s">
        <v>113</v>
      </c>
      <c r="M58" s="321"/>
      <c r="N58" s="319" t="s">
        <v>114</v>
      </c>
      <c r="O58" s="321"/>
    </row>
    <row r="59" spans="1:15">
      <c r="A59" s="274">
        <v>1</v>
      </c>
      <c r="B59" s="335"/>
      <c r="C59" s="335"/>
      <c r="D59" s="335"/>
      <c r="E59" s="275"/>
      <c r="F59" s="274">
        <v>2</v>
      </c>
      <c r="G59" s="335"/>
      <c r="H59" s="275"/>
      <c r="I59" s="274">
        <v>3</v>
      </c>
      <c r="J59" s="335"/>
      <c r="K59" s="275"/>
      <c r="L59" s="380">
        <v>4</v>
      </c>
      <c r="M59" s="381"/>
      <c r="N59" s="380">
        <v>5</v>
      </c>
      <c r="O59" s="381"/>
    </row>
    <row r="60" spans="1:15">
      <c r="A60" s="264" t="s">
        <v>380</v>
      </c>
      <c r="B60" s="296"/>
      <c r="C60" s="296"/>
      <c r="D60" s="296"/>
      <c r="E60" s="265"/>
      <c r="F60" s="336" t="str">
        <f>IF(F55&lt;&gt;"N/d",F55*F54,"")</f>
        <v/>
      </c>
      <c r="G60" s="336"/>
      <c r="H60" s="336"/>
      <c r="I60" s="336" t="str">
        <f>IF(K55&lt;&gt;"N/d",K55*K54,"")</f>
        <v/>
      </c>
      <c r="J60" s="336"/>
      <c r="K60" s="336"/>
      <c r="L60" s="337" t="str">
        <f>IF(F60&lt;&gt;"",F60-I60,"N/d")</f>
        <v>N/d</v>
      </c>
      <c r="M60" s="338"/>
      <c r="N60" s="283" t="str">
        <f>IF(F60&lt;&gt;"",(L60/F60)*100,"N/d")</f>
        <v>N/d</v>
      </c>
      <c r="O60" s="284"/>
    </row>
    <row r="62" spans="1:1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</row>
    <row r="63" spans="1:1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</row>
    <row r="64" spans="1:15">
      <c r="A64" s="197"/>
      <c r="B64" s="197"/>
      <c r="C64" s="197"/>
      <c r="D64" s="197"/>
      <c r="E64" s="197"/>
    </row>
    <row r="65" spans="1:17">
      <c r="A65" s="198"/>
      <c r="B65" s="198"/>
      <c r="C65" s="198"/>
      <c r="D65" s="198"/>
      <c r="E65" s="198"/>
      <c r="F65" s="198"/>
      <c r="G65" s="198"/>
      <c r="H65" s="198"/>
      <c r="I65" s="198"/>
      <c r="J65" s="198"/>
      <c r="K65" s="198"/>
      <c r="N65" s="198"/>
    </row>
    <row r="66" spans="1:17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P66" s="199"/>
      <c r="Q66" s="199"/>
    </row>
    <row r="67" spans="1:17" hidden="1">
      <c r="A67" s="43"/>
      <c r="B67" s="43"/>
      <c r="C67" s="43"/>
      <c r="D67" s="43"/>
      <c r="E67" s="43"/>
      <c r="F67" s="200"/>
      <c r="G67" s="200"/>
      <c r="H67" s="149"/>
      <c r="I67" s="149"/>
      <c r="J67" s="149"/>
      <c r="N67" s="43"/>
    </row>
    <row r="68" spans="1:17" hidden="1">
      <c r="A68" s="88"/>
      <c r="B68" s="88"/>
      <c r="C68" s="88"/>
      <c r="D68" s="88"/>
      <c r="E68" s="88"/>
      <c r="F68" s="87"/>
      <c r="G68" s="87"/>
      <c r="H68" s="88"/>
      <c r="I68" s="88"/>
      <c r="J68" s="88"/>
      <c r="N68" s="43"/>
    </row>
    <row r="69" spans="1:17" hidden="1">
      <c r="A69" s="51"/>
      <c r="B69" s="51"/>
      <c r="C69" s="51"/>
      <c r="D69" s="51"/>
      <c r="E69" s="43"/>
      <c r="F69" s="43"/>
      <c r="G69" s="43"/>
      <c r="H69" s="43"/>
      <c r="I69" s="43"/>
      <c r="J69" s="43"/>
      <c r="K69" s="43"/>
      <c r="L69" s="43"/>
      <c r="M69" s="43"/>
      <c r="N69" s="43"/>
    </row>
    <row r="70" spans="1:17" hidden="1">
      <c r="A70" s="51"/>
      <c r="B70" s="51"/>
      <c r="C70" s="51"/>
      <c r="D70" s="51"/>
      <c r="E70" s="43"/>
      <c r="F70" s="43"/>
      <c r="G70" s="43"/>
      <c r="H70" s="43"/>
      <c r="I70" s="43"/>
      <c r="J70" s="43"/>
      <c r="K70" s="43"/>
      <c r="L70" s="43"/>
      <c r="M70" s="43"/>
      <c r="N70" s="43"/>
    </row>
    <row r="71" spans="1:17">
      <c r="A71" s="51"/>
      <c r="B71" s="51"/>
      <c r="C71" s="51"/>
      <c r="D71" s="51"/>
      <c r="E71" s="43"/>
      <c r="F71" s="43"/>
      <c r="G71" s="43"/>
      <c r="N71" s="43"/>
    </row>
    <row r="72" spans="1:17">
      <c r="A72" s="51"/>
      <c r="F72" s="43"/>
      <c r="G72" s="43"/>
      <c r="N72" s="43"/>
    </row>
    <row r="73" spans="1:17">
      <c r="A73" s="51"/>
      <c r="F73" s="43"/>
      <c r="G73" s="43"/>
      <c r="N73" s="43"/>
    </row>
    <row r="74" spans="1:17">
      <c r="A74" s="51"/>
      <c r="B74" s="51"/>
      <c r="C74" s="51"/>
      <c r="D74" s="51"/>
      <c r="E74" s="43"/>
      <c r="F74" s="43"/>
      <c r="G74" s="43"/>
      <c r="H74" s="43"/>
      <c r="I74" s="43"/>
      <c r="J74" s="43"/>
      <c r="K74" s="43"/>
      <c r="L74" s="43"/>
      <c r="M74" s="43"/>
      <c r="N74" s="43"/>
    </row>
    <row r="75" spans="1:17">
      <c r="A75" s="51"/>
      <c r="B75" s="51"/>
      <c r="C75" s="51"/>
      <c r="D75" s="51"/>
      <c r="E75" s="43"/>
      <c r="F75" s="43"/>
      <c r="G75" s="43"/>
      <c r="H75" s="261" t="s">
        <v>400</v>
      </c>
      <c r="I75" s="261"/>
      <c r="J75" s="261"/>
      <c r="K75" s="261"/>
      <c r="L75" s="261"/>
      <c r="M75" s="261"/>
      <c r="N75" s="261"/>
      <c r="O75" s="261"/>
    </row>
    <row r="76" spans="1:17" ht="15">
      <c r="A76" s="51"/>
      <c r="B76" s="379">
        <f ca="1">TODAY()</f>
        <v>44937</v>
      </c>
      <c r="C76" s="379"/>
      <c r="D76" s="379"/>
      <c r="E76" s="379"/>
      <c r="H76" s="278" t="s">
        <v>333</v>
      </c>
      <c r="I76" s="278"/>
      <c r="J76" s="278"/>
      <c r="K76" s="278"/>
      <c r="L76" s="278"/>
      <c r="M76" s="278"/>
      <c r="N76" s="278"/>
      <c r="O76" s="278"/>
    </row>
    <row r="77" spans="1:17">
      <c r="A77" s="51"/>
      <c r="B77" s="251" t="s">
        <v>180</v>
      </c>
      <c r="C77" s="251"/>
      <c r="D77" s="251"/>
      <c r="E77" s="251"/>
      <c r="H77" s="278"/>
      <c r="I77" s="278"/>
      <c r="J77" s="278"/>
      <c r="K77" s="278"/>
      <c r="L77" s="278"/>
      <c r="M77" s="278"/>
      <c r="N77" s="278"/>
      <c r="O77" s="278"/>
    </row>
    <row r="78" spans="1:17">
      <c r="A78" s="51"/>
      <c r="B78" s="51"/>
      <c r="C78" s="51"/>
    </row>
    <row r="79" spans="1:17" ht="36" customHeight="1">
      <c r="A79" s="276" t="s">
        <v>396</v>
      </c>
      <c r="B79" s="290"/>
      <c r="C79" s="290"/>
      <c r="D79" s="290"/>
      <c r="E79" s="290"/>
      <c r="F79" s="290"/>
      <c r="G79" s="290"/>
      <c r="H79" s="290"/>
      <c r="I79" s="290"/>
      <c r="J79" s="290"/>
      <c r="K79" s="290"/>
      <c r="L79" s="290"/>
      <c r="M79" s="290"/>
      <c r="N79" s="290"/>
      <c r="O79" s="290"/>
    </row>
    <row r="81" spans="1:14">
      <c r="A81" s="51"/>
      <c r="F81" s="43"/>
      <c r="G81" s="43"/>
      <c r="N81" s="43"/>
    </row>
    <row r="98" spans="1:23" hidden="1"/>
    <row r="99" spans="1:23" hidden="1"/>
    <row r="100" spans="1:23" hidden="1"/>
    <row r="101" spans="1:23" hidden="1"/>
    <row r="102" spans="1:23" hidden="1"/>
    <row r="103" spans="1:23" hidden="1"/>
    <row r="104" spans="1:23" hidden="1">
      <c r="A104" s="39"/>
      <c r="B104" s="39"/>
      <c r="C104" s="39"/>
      <c r="D104" s="39"/>
      <c r="E104" s="39"/>
      <c r="F104" s="39"/>
      <c r="G104" s="39"/>
      <c r="H104" s="220" t="s">
        <v>118</v>
      </c>
      <c r="I104" s="220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</row>
    <row r="105" spans="1:23" ht="15" hidden="1">
      <c r="A105" s="39"/>
      <c r="B105" s="39"/>
      <c r="C105" s="39"/>
      <c r="D105" s="39"/>
      <c r="E105" s="39"/>
      <c r="F105" s="39"/>
      <c r="G105" s="39"/>
      <c r="H105" s="45" t="s">
        <v>119</v>
      </c>
      <c r="I105" s="45" t="s">
        <v>120</v>
      </c>
      <c r="J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 t="s">
        <v>202</v>
      </c>
      <c r="V105" s="39" t="s">
        <v>202</v>
      </c>
      <c r="W105" s="39" t="s">
        <v>203</v>
      </c>
    </row>
    <row r="106" spans="1:23" ht="16.5" hidden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8" t="s">
        <v>80</v>
      </c>
      <c r="V106" s="38" t="s">
        <v>373</v>
      </c>
      <c r="W106" s="38" t="s">
        <v>76</v>
      </c>
    </row>
    <row r="107" spans="1:23" hidden="1">
      <c r="A107" s="94">
        <v>1</v>
      </c>
      <c r="B107" s="95" t="s">
        <v>117</v>
      </c>
      <c r="D107" s="39"/>
      <c r="E107" s="132" t="s">
        <v>204</v>
      </c>
      <c r="F107" s="39"/>
      <c r="G107" s="39"/>
      <c r="H107" s="39" t="s">
        <v>121</v>
      </c>
      <c r="I107" s="39" t="s">
        <v>121</v>
      </c>
      <c r="J107" s="39"/>
      <c r="K107" s="39"/>
      <c r="L107" s="39"/>
      <c r="M107" s="39"/>
      <c r="N107" s="39"/>
      <c r="O107" s="39"/>
      <c r="P107" s="39"/>
      <c r="Q107" s="39"/>
      <c r="R107" s="39"/>
      <c r="S107" s="39">
        <v>100</v>
      </c>
      <c r="T107" s="39" t="s">
        <v>122</v>
      </c>
      <c r="U107" s="39">
        <v>0</v>
      </c>
      <c r="V107" s="39">
        <v>0</v>
      </c>
      <c r="W107" s="39">
        <v>0</v>
      </c>
    </row>
    <row r="108" spans="1:23" hidden="1">
      <c r="A108" s="94">
        <v>2</v>
      </c>
      <c r="B108" s="95" t="s">
        <v>144</v>
      </c>
      <c r="D108" s="39"/>
      <c r="E108" s="133">
        <v>860</v>
      </c>
      <c r="F108" s="39"/>
      <c r="G108" s="39"/>
      <c r="H108" s="53" t="s">
        <v>108</v>
      </c>
      <c r="I108" s="134">
        <v>1</v>
      </c>
      <c r="J108" s="39">
        <v>0</v>
      </c>
      <c r="K108" s="135" t="s">
        <v>107</v>
      </c>
      <c r="L108" s="39"/>
      <c r="M108" s="135" t="s">
        <v>106</v>
      </c>
      <c r="N108" s="39"/>
      <c r="O108" s="53" t="s">
        <v>50</v>
      </c>
      <c r="P108" s="39"/>
      <c r="Q108" s="39">
        <v>1</v>
      </c>
      <c r="R108" s="39"/>
      <c r="S108" s="120"/>
      <c r="T108" s="53"/>
      <c r="U108" s="54"/>
      <c r="V108" s="54"/>
      <c r="W108" s="54"/>
    </row>
    <row r="109" spans="1:23" hidden="1">
      <c r="A109" s="94">
        <v>3</v>
      </c>
      <c r="B109" s="95" t="s">
        <v>15</v>
      </c>
      <c r="D109" s="39"/>
      <c r="E109" s="39"/>
      <c r="F109" s="39"/>
      <c r="G109" s="39"/>
      <c r="H109" s="53" t="s">
        <v>105</v>
      </c>
      <c r="I109" s="134">
        <v>2</v>
      </c>
      <c r="J109" s="39"/>
      <c r="K109" s="135" t="s">
        <v>104</v>
      </c>
      <c r="L109" s="39"/>
      <c r="M109" s="135" t="s">
        <v>103</v>
      </c>
      <c r="N109" s="39"/>
      <c r="O109" s="53" t="s">
        <v>49</v>
      </c>
      <c r="P109" s="39"/>
      <c r="Q109" s="39">
        <v>2</v>
      </c>
      <c r="R109" s="39"/>
      <c r="S109" s="120"/>
      <c r="T109" s="53"/>
      <c r="U109" s="54"/>
      <c r="V109" s="54"/>
      <c r="W109" s="54"/>
    </row>
    <row r="110" spans="1:23" hidden="1">
      <c r="A110" s="94">
        <v>4</v>
      </c>
      <c r="B110" s="95" t="s">
        <v>145</v>
      </c>
      <c r="D110" s="39"/>
      <c r="E110" s="39"/>
      <c r="F110" s="39"/>
      <c r="G110" s="39"/>
      <c r="H110" s="53" t="s">
        <v>102</v>
      </c>
      <c r="I110" s="134">
        <v>3</v>
      </c>
      <c r="J110" s="39"/>
      <c r="K110" s="135" t="s">
        <v>101</v>
      </c>
      <c r="L110" s="39"/>
      <c r="M110" s="135" t="s">
        <v>100</v>
      </c>
      <c r="N110" s="39"/>
      <c r="O110" s="53" t="s">
        <v>82</v>
      </c>
      <c r="P110" s="39"/>
      <c r="Q110" s="39">
        <v>1</v>
      </c>
      <c r="R110" s="39"/>
      <c r="S110" s="120"/>
      <c r="T110" s="53"/>
      <c r="U110" s="54"/>
      <c r="V110" s="54"/>
      <c r="W110" s="54"/>
    </row>
    <row r="111" spans="1:23" hidden="1">
      <c r="A111" s="94">
        <v>5</v>
      </c>
      <c r="B111" s="95" t="s">
        <v>149</v>
      </c>
      <c r="D111" s="39"/>
      <c r="E111" s="39"/>
      <c r="F111" s="39"/>
      <c r="G111" s="39"/>
      <c r="H111" s="53" t="s">
        <v>99</v>
      </c>
      <c r="I111" s="134">
        <v>4</v>
      </c>
      <c r="J111" s="39"/>
      <c r="K111" s="135" t="s">
        <v>98</v>
      </c>
      <c r="L111" s="39"/>
      <c r="M111" s="135" t="s">
        <v>97</v>
      </c>
      <c r="N111" s="39"/>
      <c r="O111" s="53" t="s">
        <v>81</v>
      </c>
      <c r="P111" s="39"/>
      <c r="Q111" s="39">
        <v>2</v>
      </c>
      <c r="R111" s="39"/>
      <c r="S111" s="120"/>
      <c r="T111" s="53"/>
      <c r="U111" s="54"/>
      <c r="V111" s="54"/>
      <c r="W111" s="54"/>
    </row>
    <row r="112" spans="1:23" hidden="1">
      <c r="A112" s="94">
        <v>6</v>
      </c>
      <c r="B112" s="95" t="s">
        <v>150</v>
      </c>
      <c r="D112" s="39"/>
      <c r="E112" s="39"/>
      <c r="F112" s="39"/>
      <c r="G112" s="39"/>
      <c r="H112" s="53" t="s">
        <v>129</v>
      </c>
      <c r="I112" s="134">
        <v>5</v>
      </c>
      <c r="J112" s="39"/>
      <c r="K112" s="135" t="s">
        <v>199</v>
      </c>
      <c r="L112" s="39"/>
      <c r="M112" s="135" t="s">
        <v>96</v>
      </c>
      <c r="N112" s="39"/>
      <c r="O112" s="53" t="s">
        <v>79</v>
      </c>
      <c r="P112" s="39"/>
      <c r="Q112" s="39">
        <v>3</v>
      </c>
      <c r="R112" s="39"/>
      <c r="S112" s="120"/>
      <c r="T112" s="53"/>
      <c r="U112" s="54"/>
      <c r="V112" s="54"/>
      <c r="W112" s="54"/>
    </row>
    <row r="113" spans="1:23" hidden="1">
      <c r="A113" s="94">
        <v>7</v>
      </c>
      <c r="B113" s="95" t="s">
        <v>146</v>
      </c>
      <c r="D113" s="39"/>
      <c r="E113" s="39"/>
      <c r="F113" s="39"/>
      <c r="G113" s="39"/>
      <c r="H113" s="53" t="s">
        <v>130</v>
      </c>
      <c r="I113" s="134">
        <v>6</v>
      </c>
      <c r="J113" s="39"/>
      <c r="K113" s="135" t="s">
        <v>135</v>
      </c>
      <c r="L113" s="39"/>
      <c r="M113" s="135" t="s">
        <v>95</v>
      </c>
      <c r="N113" s="39"/>
      <c r="O113" s="53" t="s">
        <v>78</v>
      </c>
      <c r="P113" s="39"/>
      <c r="Q113" s="39">
        <v>1</v>
      </c>
      <c r="R113" s="39"/>
      <c r="S113" s="120"/>
      <c r="T113" s="53"/>
      <c r="U113" s="54"/>
      <c r="V113" s="54"/>
      <c r="W113" s="54"/>
    </row>
    <row r="114" spans="1:23" hidden="1">
      <c r="A114" s="39"/>
      <c r="B114" s="39"/>
      <c r="C114" s="39"/>
      <c r="D114" s="39"/>
      <c r="E114" s="39"/>
      <c r="F114" s="39"/>
      <c r="G114" s="39"/>
      <c r="H114" s="53" t="s">
        <v>131</v>
      </c>
      <c r="I114" s="134">
        <v>7</v>
      </c>
      <c r="J114" s="39"/>
      <c r="K114" s="135" t="s">
        <v>136</v>
      </c>
      <c r="L114" s="39"/>
      <c r="M114" s="135" t="s">
        <v>94</v>
      </c>
      <c r="N114" s="39"/>
      <c r="O114" s="53" t="s">
        <v>77</v>
      </c>
      <c r="P114" s="39"/>
      <c r="Q114" s="39">
        <v>2</v>
      </c>
      <c r="R114" s="39"/>
      <c r="S114" s="120"/>
      <c r="T114" s="53"/>
      <c r="U114" s="54"/>
      <c r="V114" s="54"/>
      <c r="W114" s="54"/>
    </row>
    <row r="115" spans="1:23" hidden="1">
      <c r="A115" s="39"/>
      <c r="B115" s="39"/>
      <c r="C115" s="39"/>
      <c r="D115" s="39"/>
      <c r="E115" s="39"/>
      <c r="F115" s="39"/>
      <c r="G115" s="39"/>
      <c r="H115" s="53" t="s">
        <v>132</v>
      </c>
      <c r="I115" s="134">
        <v>8</v>
      </c>
      <c r="J115" s="39"/>
      <c r="K115" s="135" t="s">
        <v>137</v>
      </c>
      <c r="L115" s="39"/>
      <c r="M115" s="135" t="s">
        <v>93</v>
      </c>
      <c r="N115" s="39"/>
      <c r="O115" s="53" t="s">
        <v>75</v>
      </c>
      <c r="P115" s="39"/>
      <c r="Q115" s="39">
        <v>3</v>
      </c>
      <c r="R115" s="39"/>
      <c r="S115" s="120"/>
      <c r="T115" s="53"/>
      <c r="U115" s="54"/>
      <c r="V115" s="54"/>
      <c r="W115" s="54"/>
    </row>
    <row r="116" spans="1:23" hidden="1">
      <c r="A116" s="39"/>
      <c r="B116" s="39"/>
      <c r="C116" s="39"/>
      <c r="D116" s="39"/>
      <c r="E116" s="39"/>
      <c r="F116" s="39"/>
      <c r="G116" s="39"/>
      <c r="H116" s="53" t="s">
        <v>92</v>
      </c>
      <c r="I116" s="134">
        <v>9</v>
      </c>
      <c r="J116" s="39"/>
      <c r="K116" s="135" t="s">
        <v>138</v>
      </c>
      <c r="L116" s="39"/>
      <c r="M116" s="135" t="s">
        <v>91</v>
      </c>
      <c r="N116" s="39"/>
      <c r="O116" s="53" t="s">
        <v>74</v>
      </c>
      <c r="P116" s="39"/>
      <c r="Q116" s="39">
        <v>4</v>
      </c>
      <c r="R116" s="39"/>
      <c r="S116" s="120"/>
      <c r="T116" s="53"/>
      <c r="U116" s="54"/>
      <c r="V116" s="54"/>
      <c r="W116" s="54"/>
    </row>
    <row r="117" spans="1:23" hidden="1">
      <c r="A117" s="39"/>
      <c r="B117" s="39"/>
      <c r="C117" s="39"/>
      <c r="D117" s="39"/>
      <c r="E117" s="39"/>
      <c r="F117" s="39"/>
      <c r="G117" s="39"/>
      <c r="H117" s="53" t="s">
        <v>254</v>
      </c>
      <c r="I117" s="134">
        <v>10</v>
      </c>
      <c r="J117" s="39"/>
      <c r="K117" s="135" t="s">
        <v>253</v>
      </c>
      <c r="L117" s="39"/>
      <c r="M117" s="135" t="s">
        <v>90</v>
      </c>
      <c r="N117" s="39"/>
      <c r="O117" s="53"/>
      <c r="P117" s="39"/>
      <c r="Q117" s="39"/>
      <c r="R117" s="39"/>
      <c r="S117" s="120"/>
      <c r="T117" s="53"/>
      <c r="U117" s="54"/>
      <c r="V117" s="54"/>
      <c r="W117" s="54"/>
    </row>
    <row r="118" spans="1:23" hidden="1">
      <c r="A118" s="39"/>
      <c r="B118" s="39" t="s">
        <v>264</v>
      </c>
      <c r="C118" s="39"/>
      <c r="D118" s="39"/>
      <c r="E118" s="39"/>
      <c r="F118" s="39"/>
      <c r="G118" s="39"/>
      <c r="H118" s="53" t="s">
        <v>133</v>
      </c>
      <c r="I118" s="134">
        <v>11</v>
      </c>
      <c r="J118" s="39"/>
      <c r="K118" s="135" t="s">
        <v>256</v>
      </c>
      <c r="L118" s="39"/>
      <c r="M118" s="135" t="s">
        <v>89</v>
      </c>
      <c r="N118" s="39"/>
      <c r="O118" s="53" t="s">
        <v>140</v>
      </c>
      <c r="P118" s="39"/>
      <c r="Q118" s="39">
        <v>4</v>
      </c>
      <c r="R118" s="39"/>
      <c r="S118" s="120"/>
      <c r="T118" s="53"/>
      <c r="U118" s="54"/>
      <c r="V118" s="54"/>
      <c r="W118" s="54"/>
    </row>
    <row r="119" spans="1:23" hidden="1">
      <c r="A119" s="39"/>
      <c r="B119" s="39" t="s">
        <v>265</v>
      </c>
      <c r="C119" s="39"/>
      <c r="D119" s="39"/>
      <c r="E119" s="39"/>
      <c r="F119" s="39"/>
      <c r="G119" s="39"/>
      <c r="H119" s="53" t="s">
        <v>134</v>
      </c>
      <c r="I119" s="134">
        <v>12</v>
      </c>
      <c r="J119" s="39"/>
      <c r="K119" s="135" t="s">
        <v>257</v>
      </c>
      <c r="L119" s="39"/>
      <c r="M119" s="135" t="s">
        <v>87</v>
      </c>
      <c r="N119" s="39"/>
      <c r="O119" s="53" t="s">
        <v>73</v>
      </c>
      <c r="P119" s="39"/>
      <c r="Q119" s="39">
        <v>5</v>
      </c>
      <c r="R119" s="39"/>
      <c r="S119" s="120"/>
      <c r="T119" s="53"/>
      <c r="U119" s="54"/>
      <c r="V119" s="54"/>
      <c r="W119" s="54"/>
    </row>
    <row r="120" spans="1:23" hidden="1">
      <c r="A120" s="39"/>
      <c r="B120" s="39"/>
      <c r="C120" s="39"/>
      <c r="D120" s="39"/>
      <c r="E120" s="39"/>
      <c r="F120" s="39"/>
      <c r="G120" s="39"/>
      <c r="H120" s="53" t="s">
        <v>88</v>
      </c>
      <c r="I120" s="134">
        <v>13</v>
      </c>
      <c r="J120" s="39"/>
      <c r="K120" s="135" t="s">
        <v>258</v>
      </c>
      <c r="L120" s="39"/>
      <c r="M120" s="135" t="s">
        <v>85</v>
      </c>
      <c r="N120" s="39"/>
      <c r="O120" s="53" t="s">
        <v>72</v>
      </c>
      <c r="P120" s="39"/>
      <c r="Q120" s="39">
        <v>6</v>
      </c>
      <c r="R120" s="39"/>
      <c r="S120" s="120"/>
      <c r="T120" s="53"/>
      <c r="U120" s="54"/>
      <c r="V120" s="54"/>
      <c r="W120" s="54"/>
    </row>
    <row r="121" spans="1:23" hidden="1">
      <c r="A121" s="39"/>
      <c r="B121" s="39"/>
      <c r="C121" s="39"/>
      <c r="D121" s="39"/>
      <c r="E121" s="39"/>
      <c r="F121" s="39"/>
      <c r="G121" s="39"/>
      <c r="H121" s="53"/>
      <c r="I121" s="134">
        <v>14</v>
      </c>
      <c r="J121" s="39"/>
      <c r="K121" s="135" t="s">
        <v>285</v>
      </c>
      <c r="L121" s="39"/>
      <c r="M121" s="135" t="s">
        <v>83</v>
      </c>
      <c r="N121" s="39"/>
      <c r="O121" s="53"/>
      <c r="P121" s="39"/>
      <c r="Q121" s="39"/>
      <c r="R121" s="39"/>
      <c r="S121" s="120"/>
      <c r="T121" s="53"/>
      <c r="U121" s="54"/>
      <c r="V121" s="54"/>
      <c r="W121" s="54"/>
    </row>
    <row r="122" spans="1:23" hidden="1">
      <c r="A122" s="39"/>
      <c r="B122" s="39"/>
      <c r="C122" s="39"/>
      <c r="D122" s="39"/>
      <c r="E122" s="39"/>
      <c r="F122" s="39"/>
      <c r="G122" s="39"/>
      <c r="H122" s="53"/>
      <c r="I122" s="134">
        <v>15</v>
      </c>
      <c r="J122" s="39"/>
      <c r="K122" s="135" t="s">
        <v>286</v>
      </c>
      <c r="L122" s="39"/>
      <c r="M122" s="135" t="s">
        <v>255</v>
      </c>
      <c r="N122" s="39"/>
      <c r="O122" s="53"/>
      <c r="P122" s="39"/>
      <c r="Q122" s="39"/>
      <c r="R122" s="39"/>
      <c r="S122" s="120"/>
      <c r="T122" s="53"/>
      <c r="U122" s="54"/>
      <c r="V122" s="54"/>
      <c r="W122" s="54"/>
    </row>
    <row r="123" spans="1:23" hidden="1">
      <c r="A123" s="39"/>
      <c r="B123" s="39"/>
      <c r="C123" s="39"/>
      <c r="D123" s="39"/>
      <c r="E123" s="39"/>
      <c r="F123" s="39"/>
      <c r="G123" s="39"/>
      <c r="H123" s="53" t="s">
        <v>86</v>
      </c>
      <c r="I123" s="134">
        <v>16</v>
      </c>
      <c r="J123" s="39"/>
      <c r="K123" s="135" t="s">
        <v>281</v>
      </c>
      <c r="L123" s="39"/>
      <c r="M123" s="135" t="s">
        <v>283</v>
      </c>
      <c r="N123" s="39"/>
      <c r="O123" s="53" t="s">
        <v>139</v>
      </c>
      <c r="P123" s="39"/>
      <c r="Q123" s="39">
        <v>7</v>
      </c>
      <c r="R123" s="39"/>
      <c r="S123" s="120"/>
      <c r="T123" s="53"/>
      <c r="U123" s="54"/>
      <c r="V123" s="54"/>
      <c r="W123" s="54"/>
    </row>
    <row r="124" spans="1:23" ht="15" hidden="1">
      <c r="A124" s="39"/>
      <c r="B124" s="45"/>
      <c r="C124" s="39"/>
      <c r="D124" s="45"/>
      <c r="E124" s="39"/>
      <c r="F124" s="39"/>
      <c r="G124" s="39"/>
      <c r="H124" s="53" t="s">
        <v>84</v>
      </c>
      <c r="I124" s="134">
        <v>17</v>
      </c>
      <c r="J124" s="39"/>
      <c r="K124" s="135" t="s">
        <v>282</v>
      </c>
      <c r="L124" s="39"/>
      <c r="M124" s="135" t="s">
        <v>284</v>
      </c>
      <c r="N124" s="39"/>
      <c r="O124" s="53" t="s">
        <v>68</v>
      </c>
      <c r="P124" s="39"/>
      <c r="Q124" s="39">
        <v>8</v>
      </c>
      <c r="R124" s="39"/>
      <c r="S124" s="120"/>
      <c r="T124" s="53"/>
      <c r="U124" s="54"/>
      <c r="V124" s="54"/>
      <c r="W124" s="54"/>
    </row>
    <row r="125" spans="1:23" hidden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53" t="s">
        <v>65</v>
      </c>
      <c r="P125" s="39"/>
      <c r="Q125" s="39">
        <v>9</v>
      </c>
      <c r="R125" s="39"/>
      <c r="S125" s="120"/>
      <c r="T125" s="53"/>
      <c r="U125" s="54"/>
      <c r="V125" s="54"/>
      <c r="W125" s="54"/>
    </row>
    <row r="126" spans="1:23" ht="15" hidden="1">
      <c r="A126" s="39"/>
      <c r="B126" s="39"/>
      <c r="C126" s="39"/>
      <c r="D126" s="39"/>
      <c r="E126" s="39"/>
      <c r="F126" s="39"/>
      <c r="G126" s="39"/>
      <c r="H126" s="45" t="s">
        <v>44</v>
      </c>
      <c r="I126" s="39">
        <v>100</v>
      </c>
      <c r="J126" s="137" t="s">
        <v>45</v>
      </c>
      <c r="K126" s="39"/>
      <c r="L126" s="39"/>
      <c r="M126" s="39"/>
      <c r="N126" s="39"/>
      <c r="O126" s="53" t="s">
        <v>62</v>
      </c>
      <c r="P126" s="39"/>
      <c r="Q126" s="39">
        <v>10</v>
      </c>
      <c r="R126" s="39"/>
      <c r="S126" s="120"/>
      <c r="T126" s="53"/>
      <c r="U126" s="54"/>
      <c r="V126" s="54"/>
      <c r="W126" s="54"/>
    </row>
    <row r="127" spans="1:23" hidden="1">
      <c r="A127" s="39"/>
      <c r="B127" s="39" t="str">
        <f t="shared" ref="B127:B138" si="0">IF($B$225="1",K109,"")</f>
        <v/>
      </c>
      <c r="C127" s="39"/>
      <c r="D127" s="39" t="str">
        <f t="shared" ref="D127:D138" si="1">IF($D$225="1",K109,"")</f>
        <v/>
      </c>
      <c r="E127" s="39"/>
      <c r="F127" s="39"/>
      <c r="G127" s="39" t="s">
        <v>200</v>
      </c>
      <c r="H127" s="39" t="str">
        <f>IF(F52=H107,J108,IF(F52=K108,I108,IF(F52=K109,I109,IF(F52=K110,I110,IF(F52=K111,I111,IF(F52=K112,I112,IF(F52=K113,I113,IF(F52=K114,I114,IF(F52=K115,I115,IF(F52=K116,I116,IF(F52=K117,I117,IF(F52=K118,I118,IF(F52=K119,I119,IF(F52=K120,I120,IF(F52=K123,I123,IF(F52=K124,I124,IF(F52=K121,I121,IF(F52=K122,I122,""))))))))))))))))))</f>
        <v/>
      </c>
      <c r="I127" s="39"/>
      <c r="J127" s="138" t="str">
        <f>IF(K52=H107,J108,IF(K52=K108,I108,IF(K52=K109,I109,IF(K52=K110,I110,IF(K52=K111,I111,IF(K52=K112,I112,IF(K52=K113,I113,IF(K52=K114,I114,IF(K52=K115,I115,IF(K52=K116,I116,IF(K52=K117,I117,IF(K52=K118,I118,IF(K52=K119,I119,IF(K52=K120,I120,IF(K52=K123,I123,IF(K52=K124,I124,IF(K52=K121,I121,IF(K52=K122,I122,""))))))))))))))))))</f>
        <v/>
      </c>
      <c r="K127" s="39"/>
      <c r="L127" s="39"/>
      <c r="M127" s="39"/>
      <c r="N127" s="39"/>
      <c r="O127" s="53" t="s">
        <v>61</v>
      </c>
      <c r="P127" s="39"/>
      <c r="Q127" s="39">
        <v>11</v>
      </c>
      <c r="R127" s="39"/>
      <c r="S127" s="120"/>
      <c r="T127" s="53"/>
      <c r="U127" s="54"/>
      <c r="V127" s="54"/>
      <c r="W127" s="54"/>
    </row>
    <row r="128" spans="1:23" hidden="1">
      <c r="A128" s="39"/>
      <c r="B128" s="39" t="str">
        <f t="shared" si="0"/>
        <v/>
      </c>
      <c r="C128" s="39"/>
      <c r="D128" s="39" t="str">
        <f t="shared" si="1"/>
        <v/>
      </c>
      <c r="E128" s="39"/>
      <c r="F128" s="39" t="s">
        <v>201</v>
      </c>
      <c r="H128" s="39" t="str">
        <f>IF(F53=O108,(H127*I126)+Q108,IF(F53=O110,(H127*I126)+Q110,IF(F53=O109,(H127*I126)+Q109,IF(F53=O111,(H127*I126)+Q111,IF(F53=O112,(H127*I126)+Q112,IF(F53=O113,(H127*I126)+Q113,IF(F53=O114,(H127*I126)+Q114,IF(F53=O115,(H127*I126)+Q115,IF(F53=O116,(H127*I126)+Q116,IF(F53=O118,(H127*I126)+Q118,IF(F53=O119,(H127*I126)+Q119,IF(F53=O120,(H127*I126)+Q120,IF(F53=O123,(H127*I126)+Q123,IF(F53=O124,(H127*I126)+Q124,IF(F53=O125,(H127*I126)+Q125,IF(F53=O126,(H127*I126)+Q126,IF(F53=O127,(H127*I126)+Q127,IF(F53=O128,(H127*I126)+Q128,IF(F53=O129,(H127*I126)+Q129,IF(F53=O130,(H127*I126)+Q130,IF(F53=O131,(H127*I126)+Q131,IF(F53=O132,(H127*I126)+Q132,IF(F53=O133,(H127*I126)+Q133,IF(F53=O134,(H127*I126)+Q134,IF(F53=O135,(H127*I126)+Q135,IF(F53=O136,(H127*I126)+Q136,IF(F53=O137,(H127*I126)+Q137,"")))))))))))))))))))))))))))</f>
        <v/>
      </c>
      <c r="I128" s="39"/>
      <c r="J128" s="138" t="str">
        <f>IF(K53=O108,(J127*I126)+Q108,IF(K53=O110,(J127*I126)+Q110,IF(K53=O109,(J127*I126)+Q109,IF(K53=O111,(J127*I126)+Q111,IF(K53=O112,(J127*I126)+Q112,IF(K53=O113,(J127*I126)+Q113,IF(K53=O114,(J127*I126)+Q114,IF(K53=O115,(J127*I126)+Q115,IF(K53=O116,(J127*I126)+Q116,IF(K53=O118,(J127*I126)+Q118,IF(K53=O119,(J127*I126)+Q119,IF(K53=O120,(J127*I126)+Q120,IF(K53=O123,(J127*I126)+Q123,IF(K53=O124,(J127*I126)+Q124,IF(K53=O125,(J127*I126)+Q125,IF(K53=O126,(J127*I126)+Q126,IF(K53=O127,(J127*I126)+Q127,IF(K53=O128,(J127*I126)+Q128,IF(K53=O129,(J127*I126)+Q129,IF(K53=O130,(J127*I126)+Q130,IF(K53=O131,(J127*I126)+Q131,IF(K53=O132,(J127*I126)+Q132,IF(K53=O133,(J127*I126)+Q133,IF(K53=O134,(J127*I126)+Q134,IF(K53=O135,(J127*I126)+Q135,IF(K53=O136,(J127*I126)+Q136,IF(K53=O137,(J127*I126)+Q137,"")))))))))))))))))))))))))))</f>
        <v/>
      </c>
      <c r="K128" s="39"/>
      <c r="L128" s="39"/>
      <c r="M128" s="39"/>
      <c r="N128" s="39"/>
      <c r="O128" s="53" t="s">
        <v>60</v>
      </c>
      <c r="P128" s="39"/>
      <c r="Q128" s="39">
        <v>12</v>
      </c>
      <c r="R128" s="39"/>
      <c r="S128" s="120"/>
      <c r="T128" s="53"/>
      <c r="U128" s="54"/>
      <c r="V128" s="54"/>
      <c r="W128" s="54"/>
    </row>
    <row r="129" spans="1:23" hidden="1">
      <c r="A129" s="39"/>
      <c r="B129" s="39" t="str">
        <f t="shared" si="0"/>
        <v/>
      </c>
      <c r="C129" s="39"/>
      <c r="D129" s="39" t="str">
        <f t="shared" si="1"/>
        <v/>
      </c>
      <c r="E129" s="39"/>
      <c r="F129" s="39"/>
      <c r="G129" s="39"/>
      <c r="H129" s="39" t="str">
        <f>IF(H127=H107,J108,IF(H127=I108,O108,IF(H127=I109,O108,IF(H127=I110,O108,IF(H127=I111,O108,IF(H127=I112,O108,IF(H127=I113,O108,IF(H127=I114,O108,IF(H127=I115,O108,IF(H127=I116,O108,IF(H127=I117,O108,IF(H127=I118,O108,IF(H127=I119,O108,IF(H127=I120,O108,IF(H127=I123,O110,IF(H127=I124,O108,""))))))))))))))))</f>
        <v/>
      </c>
      <c r="I129" s="39"/>
      <c r="J129" s="138" t="str">
        <f>IF(J127=H107,J108,IF(J127=I108,O108,IF(J127=I109,O108,IF(J127=I110,O108,IF(J127=I111,O108,IF(J127=I112,O108,IF(J127=I113,O108,IF(J127=I114,O108,IF(J127=I115,O108,IF(J127=I116,O108,IF(J127=I117,O108,IF(J127=I118,O108,IF(J127=I119,O108,IF(J127=I120,O108,IF(J127=I123,O110,IF(J127=I124,O108,""))))))))))))))))</f>
        <v/>
      </c>
      <c r="K129" s="39"/>
      <c r="L129" s="39"/>
      <c r="M129" s="39"/>
      <c r="N129" s="39"/>
      <c r="O129" s="53" t="s">
        <v>59</v>
      </c>
      <c r="P129" s="39"/>
      <c r="Q129" s="39">
        <v>13</v>
      </c>
      <c r="R129" s="39"/>
      <c r="S129" s="120"/>
      <c r="T129" s="53"/>
      <c r="U129" s="54"/>
      <c r="V129" s="54"/>
      <c r="W129" s="54"/>
    </row>
    <row r="130" spans="1:23" hidden="1">
      <c r="A130" s="39"/>
      <c r="B130" s="39" t="str">
        <f t="shared" si="0"/>
        <v/>
      </c>
      <c r="C130" s="39"/>
      <c r="D130" s="39" t="str">
        <f t="shared" si="1"/>
        <v/>
      </c>
      <c r="E130" s="39"/>
      <c r="F130" s="39"/>
      <c r="G130" s="39"/>
      <c r="H130" s="39" t="str">
        <f>IF(H127=1,O109,IF(H127=2," ",IF(H127=3,O109,IF(H127&lt;10," ",IF(H127&lt;14,O109,IF(H127=16,O111,IF(H127=I124,O109,"")))))))</f>
        <v/>
      </c>
      <c r="I130" s="39"/>
      <c r="J130" s="138" t="str">
        <f>IF($J$127=1,O109,IF($J$127=2," ",IF($J$127=3,O109,IF($J$127&lt;10," ",IF($J$127&lt;14,O109,IF($J$127=16,O111,IF(J127=I124,O109,"")))))))</f>
        <v/>
      </c>
      <c r="K130" s="39"/>
      <c r="L130" s="39"/>
      <c r="M130" s="39"/>
      <c r="N130" s="39"/>
      <c r="O130" s="53" t="s">
        <v>58</v>
      </c>
      <c r="P130" s="39"/>
      <c r="Q130" s="39">
        <v>14</v>
      </c>
      <c r="R130" s="39"/>
      <c r="S130" s="120"/>
      <c r="T130" s="53"/>
      <c r="U130" s="54"/>
      <c r="V130" s="54"/>
      <c r="W130" s="54"/>
    </row>
    <row r="131" spans="1:23" hidden="1">
      <c r="A131" s="39"/>
      <c r="B131" s="39" t="str">
        <f t="shared" si="0"/>
        <v/>
      </c>
      <c r="C131" s="39"/>
      <c r="D131" s="39" t="str">
        <f t="shared" si="1"/>
        <v/>
      </c>
      <c r="E131" s="39"/>
      <c r="F131" s="39"/>
      <c r="G131" s="39"/>
      <c r="H131" s="39" t="str">
        <f>IF($H$127=16,O112,"")</f>
        <v/>
      </c>
      <c r="I131" s="39"/>
      <c r="J131" s="138" t="str">
        <f>IF($J$127=16,O112,"")</f>
        <v/>
      </c>
      <c r="K131" s="39"/>
      <c r="L131" s="39"/>
      <c r="M131" s="39"/>
      <c r="N131" s="39"/>
      <c r="O131" s="53" t="s">
        <v>57</v>
      </c>
      <c r="P131" s="39"/>
      <c r="Q131" s="39">
        <v>15</v>
      </c>
      <c r="R131" s="39"/>
      <c r="S131" s="120"/>
      <c r="T131" s="53"/>
      <c r="U131" s="54"/>
      <c r="V131" s="54"/>
      <c r="W131" s="54"/>
    </row>
    <row r="132" spans="1:23" hidden="1">
      <c r="A132" s="39"/>
      <c r="B132" s="39" t="str">
        <f t="shared" si="0"/>
        <v/>
      </c>
      <c r="C132" s="39"/>
      <c r="D132" s="39" t="str">
        <f t="shared" si="1"/>
        <v/>
      </c>
      <c r="E132" s="39"/>
      <c r="F132" s="39"/>
      <c r="G132" s="39"/>
      <c r="H132" s="39" t="str">
        <f>IF($H$127=14,O113,IF(H127=15,O113,""))</f>
        <v/>
      </c>
      <c r="I132" s="39"/>
      <c r="J132" s="138" t="str">
        <f>IF($J$127=14,O113,IF(J127=15,O113,""))</f>
        <v/>
      </c>
      <c r="K132" s="39"/>
      <c r="L132" s="39"/>
      <c r="M132" s="39"/>
      <c r="N132" s="39"/>
      <c r="O132" s="53" t="s">
        <v>56</v>
      </c>
      <c r="P132" s="39"/>
      <c r="Q132" s="39">
        <v>16</v>
      </c>
      <c r="R132" s="39"/>
      <c r="S132" s="120"/>
      <c r="T132" s="53"/>
      <c r="U132" s="54"/>
      <c r="V132" s="54"/>
      <c r="W132" s="54"/>
    </row>
    <row r="133" spans="1:23" hidden="1">
      <c r="A133" s="39"/>
      <c r="B133" s="39" t="str">
        <f t="shared" si="0"/>
        <v/>
      </c>
      <c r="C133" s="39"/>
      <c r="D133" s="39" t="str">
        <f t="shared" si="1"/>
        <v/>
      </c>
      <c r="E133" s="39"/>
      <c r="F133" s="39"/>
      <c r="G133" s="39"/>
      <c r="H133" s="39" t="str">
        <f>IF($H$127=14,O114,IF(H127=15,O114,""))</f>
        <v/>
      </c>
      <c r="I133" s="39"/>
      <c r="J133" s="138" t="str">
        <f>IF($J$127=14,O114,IF(J127=15,O114,""))</f>
        <v/>
      </c>
      <c r="K133" s="39"/>
      <c r="L133" s="39"/>
      <c r="M133" s="39"/>
      <c r="N133" s="39"/>
      <c r="O133" s="53" t="s">
        <v>55</v>
      </c>
      <c r="P133" s="39"/>
      <c r="Q133" s="39">
        <v>5</v>
      </c>
      <c r="R133" s="39"/>
      <c r="S133" s="120"/>
      <c r="T133" s="53"/>
      <c r="U133" s="54"/>
      <c r="V133" s="54"/>
      <c r="W133" s="54"/>
    </row>
    <row r="134" spans="1:23" hidden="1">
      <c r="A134" s="39"/>
      <c r="B134" s="39" t="str">
        <f t="shared" si="0"/>
        <v/>
      </c>
      <c r="C134" s="39"/>
      <c r="D134" s="39" t="str">
        <f t="shared" si="1"/>
        <v/>
      </c>
      <c r="E134" s="39"/>
      <c r="F134" s="39"/>
      <c r="G134" s="39"/>
      <c r="H134" s="39" t="str">
        <f>IF($H$127=14,O115,IF(H127=15,O115,""))</f>
        <v/>
      </c>
      <c r="I134" s="39"/>
      <c r="J134" s="138" t="str">
        <f>IF($J$127=14,O115,IF(J127=15,O115,""))</f>
        <v/>
      </c>
      <c r="K134" s="39"/>
      <c r="L134" s="39"/>
      <c r="M134" s="39"/>
      <c r="N134" s="39"/>
      <c r="O134" s="53" t="s">
        <v>54</v>
      </c>
      <c r="P134" s="39"/>
      <c r="Q134" s="39">
        <v>17</v>
      </c>
      <c r="R134" s="39"/>
      <c r="S134" s="120"/>
      <c r="T134" s="53"/>
      <c r="U134" s="54"/>
      <c r="V134" s="54"/>
      <c r="W134" s="54"/>
    </row>
    <row r="135" spans="1:23" hidden="1">
      <c r="A135" s="39"/>
      <c r="B135" s="39" t="str">
        <f t="shared" si="0"/>
        <v/>
      </c>
      <c r="C135" s="39"/>
      <c r="D135" s="39" t="str">
        <f t="shared" si="1"/>
        <v/>
      </c>
      <c r="E135" s="39"/>
      <c r="F135" s="39"/>
      <c r="G135" s="39"/>
      <c r="H135" s="39" t="str">
        <f>IF($H$127=14,O116,IF(H127=15,O116,""))</f>
        <v/>
      </c>
      <c r="I135" s="39"/>
      <c r="J135" s="138" t="str">
        <f>IF($J$127=14,O116,IF(J127=15,O116,""))</f>
        <v/>
      </c>
      <c r="K135" s="39"/>
      <c r="L135" s="39"/>
      <c r="M135" s="39"/>
      <c r="N135" s="39"/>
      <c r="O135" s="53" t="s">
        <v>53</v>
      </c>
      <c r="P135" s="39"/>
      <c r="Q135" s="39">
        <v>18</v>
      </c>
      <c r="R135" s="39"/>
      <c r="S135" s="120"/>
      <c r="T135" s="53"/>
      <c r="U135" s="54"/>
      <c r="V135" s="54"/>
      <c r="W135" s="54"/>
    </row>
    <row r="136" spans="1:23" hidden="1">
      <c r="A136" s="39"/>
      <c r="B136" s="39" t="str">
        <f t="shared" si="0"/>
        <v/>
      </c>
      <c r="C136" s="39"/>
      <c r="D136" s="39" t="str">
        <f t="shared" si="1"/>
        <v/>
      </c>
      <c r="E136" s="39"/>
      <c r="F136" s="39"/>
      <c r="G136" s="39"/>
      <c r="H136" s="39" t="str">
        <f>IF($H$127=16,O118,IF($H$127=14,O133,IF($H$127=15,O133,"")))</f>
        <v/>
      </c>
      <c r="I136" s="39"/>
      <c r="J136" s="138" t="str">
        <f>IF($J$127=16,O118,IF($J$127=14,O133,IF($J$127=15,O133,"")))</f>
        <v/>
      </c>
      <c r="K136" s="39"/>
      <c r="L136" s="39"/>
      <c r="M136" s="39"/>
      <c r="N136" s="39"/>
      <c r="O136" s="53" t="s">
        <v>52</v>
      </c>
      <c r="P136" s="39"/>
      <c r="Q136" s="39">
        <v>19</v>
      </c>
      <c r="R136" s="39"/>
      <c r="S136" s="120"/>
      <c r="T136" s="53"/>
      <c r="U136" s="54"/>
      <c r="V136" s="54"/>
      <c r="W136" s="54"/>
    </row>
    <row r="137" spans="1:23" hidden="1">
      <c r="A137" s="39"/>
      <c r="B137" s="39" t="str">
        <f t="shared" si="0"/>
        <v/>
      </c>
      <c r="C137" s="39"/>
      <c r="D137" s="39" t="str">
        <f t="shared" si="1"/>
        <v/>
      </c>
      <c r="E137" s="39"/>
      <c r="F137" s="39"/>
      <c r="G137" s="39"/>
      <c r="H137" s="39" t="str">
        <f>IF($H$127=16,O119,"")</f>
        <v/>
      </c>
      <c r="I137" s="39"/>
      <c r="J137" s="138" t="str">
        <f>IF($J$127=16,O119,"")</f>
        <v/>
      </c>
      <c r="K137" s="39"/>
      <c r="L137" s="39"/>
      <c r="M137" s="39"/>
      <c r="N137" s="39"/>
      <c r="O137" s="139" t="s">
        <v>51</v>
      </c>
      <c r="P137" s="39"/>
      <c r="Q137" s="39">
        <v>20</v>
      </c>
      <c r="R137" s="39"/>
      <c r="S137" s="120"/>
      <c r="T137" s="53"/>
      <c r="U137" s="54"/>
      <c r="V137" s="54"/>
      <c r="W137" s="54"/>
    </row>
    <row r="138" spans="1:23" hidden="1">
      <c r="A138" s="39"/>
      <c r="B138" s="39" t="str">
        <f t="shared" si="0"/>
        <v/>
      </c>
      <c r="C138" s="39"/>
      <c r="D138" s="39" t="str">
        <f t="shared" si="1"/>
        <v/>
      </c>
      <c r="E138" s="39"/>
      <c r="F138" s="39"/>
      <c r="G138" s="39"/>
      <c r="H138" s="39" t="str">
        <f>IF($H$127=16,O120,"")</f>
        <v/>
      </c>
      <c r="I138" s="39"/>
      <c r="J138" s="138" t="str">
        <f>IF($J$127=16,O120,"")</f>
        <v/>
      </c>
      <c r="K138" s="39"/>
      <c r="L138" s="39"/>
      <c r="M138" s="39"/>
      <c r="N138" s="39"/>
      <c r="O138" s="43"/>
      <c r="P138" s="39"/>
      <c r="R138" s="39"/>
      <c r="S138" s="120"/>
      <c r="T138" s="53"/>
      <c r="U138" s="54"/>
      <c r="V138" s="54"/>
      <c r="W138" s="54"/>
    </row>
    <row r="139" spans="1:23" hidden="1">
      <c r="A139" s="39"/>
      <c r="B139" s="39" t="str">
        <f>IF($B$225="1",K124,"")</f>
        <v/>
      </c>
      <c r="C139" s="39"/>
      <c r="D139" s="39" t="str">
        <f>IF($D$225="1",K124,"")</f>
        <v/>
      </c>
      <c r="E139" s="39"/>
      <c r="F139" s="39"/>
      <c r="G139" s="39"/>
      <c r="H139" s="39" t="str">
        <f t="shared" ref="H139:H147" si="2">IF($H$127=16,O123,"")</f>
        <v/>
      </c>
      <c r="I139" s="39"/>
      <c r="J139" s="138" t="str">
        <f t="shared" ref="J139:J148" si="3">IF($J$127=16,O123,"")</f>
        <v/>
      </c>
      <c r="K139" s="39"/>
      <c r="L139" s="39"/>
      <c r="M139" s="39"/>
      <c r="N139" s="39"/>
      <c r="O139" s="43"/>
      <c r="P139" s="39"/>
      <c r="Q139" s="39"/>
      <c r="R139" s="39"/>
      <c r="S139" s="120"/>
      <c r="T139" s="53"/>
      <c r="U139" s="54"/>
      <c r="V139" s="54"/>
      <c r="W139" s="54"/>
    </row>
    <row r="140" spans="1:23" hidden="1">
      <c r="A140" s="39"/>
      <c r="B140" s="39"/>
      <c r="C140" s="39"/>
      <c r="D140" s="39"/>
      <c r="E140" s="39"/>
      <c r="F140" s="39"/>
      <c r="G140" s="39"/>
      <c r="H140" s="39" t="str">
        <f t="shared" si="2"/>
        <v/>
      </c>
      <c r="I140" s="39"/>
      <c r="J140" s="138" t="str">
        <f t="shared" si="3"/>
        <v/>
      </c>
      <c r="K140" s="39"/>
      <c r="L140" s="39"/>
      <c r="M140" s="39"/>
      <c r="N140" s="39"/>
      <c r="O140" s="39"/>
      <c r="P140" s="39"/>
      <c r="Q140" s="39"/>
      <c r="R140" s="39"/>
      <c r="S140" s="120"/>
      <c r="T140" s="53"/>
      <c r="U140" s="54"/>
      <c r="V140" s="54"/>
      <c r="W140" s="54"/>
    </row>
    <row r="141" spans="1:23" hidden="1">
      <c r="A141" s="39"/>
      <c r="B141" s="39"/>
      <c r="C141" s="39"/>
      <c r="D141" s="39"/>
      <c r="E141" s="39"/>
      <c r="F141" s="39"/>
      <c r="G141" s="39"/>
      <c r="H141" s="39" t="str">
        <f t="shared" si="2"/>
        <v/>
      </c>
      <c r="I141" s="39"/>
      <c r="J141" s="138" t="str">
        <f t="shared" si="3"/>
        <v/>
      </c>
      <c r="K141" s="39"/>
      <c r="L141" s="39"/>
      <c r="M141" s="39"/>
      <c r="N141" s="39"/>
      <c r="O141" s="39"/>
      <c r="P141" s="39"/>
      <c r="Q141" s="39"/>
      <c r="R141" s="39"/>
      <c r="S141" s="120"/>
      <c r="T141" s="53"/>
      <c r="U141" s="54"/>
      <c r="V141" s="54"/>
      <c r="W141" s="54"/>
    </row>
    <row r="142" spans="1:23" hidden="1">
      <c r="A142" s="39"/>
      <c r="B142" s="39"/>
      <c r="C142" s="39"/>
      <c r="D142" s="39"/>
      <c r="E142" s="39"/>
      <c r="F142" s="39"/>
      <c r="G142" s="39"/>
      <c r="H142" s="39" t="str">
        <f t="shared" si="2"/>
        <v/>
      </c>
      <c r="I142" s="39"/>
      <c r="J142" s="138" t="str">
        <f t="shared" si="3"/>
        <v/>
      </c>
      <c r="K142" s="39"/>
      <c r="L142" s="39"/>
      <c r="M142" s="39"/>
      <c r="N142" s="39"/>
      <c r="O142" s="39"/>
      <c r="P142" s="39"/>
      <c r="Q142" s="39"/>
      <c r="R142" s="39"/>
      <c r="S142" s="120"/>
      <c r="T142" s="53"/>
      <c r="U142" s="54"/>
      <c r="V142" s="54"/>
      <c r="W142" s="54"/>
    </row>
    <row r="143" spans="1:23" hidden="1">
      <c r="A143" s="39"/>
      <c r="B143" s="39"/>
      <c r="C143" s="39"/>
      <c r="D143" s="39"/>
      <c r="E143" s="39"/>
      <c r="F143" s="39"/>
      <c r="G143" s="39"/>
      <c r="H143" s="39" t="str">
        <f t="shared" si="2"/>
        <v/>
      </c>
      <c r="I143" s="39"/>
      <c r="J143" s="138" t="str">
        <f t="shared" si="3"/>
        <v/>
      </c>
      <c r="K143" s="39"/>
      <c r="L143" s="39"/>
      <c r="M143" s="39"/>
      <c r="N143" s="39"/>
      <c r="O143" s="39"/>
      <c r="P143" s="39"/>
      <c r="Q143" s="39"/>
      <c r="R143" s="39"/>
      <c r="S143" s="120"/>
      <c r="T143" s="53"/>
      <c r="U143" s="54"/>
      <c r="V143" s="54"/>
      <c r="W143" s="54"/>
    </row>
    <row r="144" spans="1:23" hidden="1">
      <c r="A144" s="39"/>
      <c r="B144" s="39"/>
      <c r="C144" s="39"/>
      <c r="D144" s="39"/>
      <c r="E144" s="39"/>
      <c r="F144" s="39"/>
      <c r="G144" s="39"/>
      <c r="H144" s="39" t="str">
        <f t="shared" si="2"/>
        <v/>
      </c>
      <c r="I144" s="39"/>
      <c r="J144" s="138" t="str">
        <f t="shared" si="3"/>
        <v/>
      </c>
      <c r="K144" s="39"/>
      <c r="L144" s="39"/>
      <c r="M144" s="39"/>
      <c r="N144" s="39"/>
      <c r="O144" s="39"/>
      <c r="P144" s="39"/>
      <c r="Q144" s="39"/>
      <c r="R144" s="39"/>
      <c r="S144" s="120"/>
      <c r="T144" s="53"/>
      <c r="U144" s="54"/>
      <c r="V144" s="54"/>
      <c r="W144" s="54"/>
    </row>
    <row r="145" spans="1:23" hidden="1">
      <c r="A145" s="39"/>
      <c r="B145" s="39"/>
      <c r="C145" s="39"/>
      <c r="D145" s="39"/>
      <c r="E145" s="39"/>
      <c r="F145" s="39"/>
      <c r="G145" s="39"/>
      <c r="H145" s="39" t="str">
        <f t="shared" si="2"/>
        <v/>
      </c>
      <c r="I145" s="39"/>
      <c r="J145" s="138" t="str">
        <f t="shared" si="3"/>
        <v/>
      </c>
      <c r="K145" s="39"/>
      <c r="L145" s="39"/>
      <c r="M145" s="39"/>
      <c r="N145" s="39"/>
      <c r="O145" s="39"/>
      <c r="P145" s="39"/>
      <c r="Q145" s="39"/>
      <c r="R145" s="39"/>
      <c r="S145" s="120"/>
      <c r="T145" s="53"/>
      <c r="U145" s="54"/>
      <c r="V145" s="54"/>
      <c r="W145" s="54"/>
    </row>
    <row r="146" spans="1:23" hidden="1">
      <c r="A146" s="39"/>
      <c r="B146" s="39"/>
      <c r="C146" s="39"/>
      <c r="D146" s="39"/>
      <c r="E146" s="39"/>
      <c r="F146" s="39"/>
      <c r="G146" s="39"/>
      <c r="H146" s="39" t="str">
        <f t="shared" si="2"/>
        <v/>
      </c>
      <c r="I146" s="39"/>
      <c r="J146" s="138" t="str">
        <f t="shared" si="3"/>
        <v/>
      </c>
      <c r="K146" s="39"/>
      <c r="L146" s="39"/>
      <c r="M146" s="39"/>
      <c r="N146" s="39"/>
      <c r="O146" s="39"/>
      <c r="P146" s="39"/>
      <c r="Q146" s="39"/>
      <c r="R146" s="39"/>
      <c r="S146" s="120"/>
      <c r="T146" s="53"/>
      <c r="U146" s="54"/>
      <c r="V146" s="54"/>
      <c r="W146" s="54"/>
    </row>
    <row r="147" spans="1:23" hidden="1">
      <c r="A147" s="39"/>
      <c r="B147" s="39"/>
      <c r="C147" s="39"/>
      <c r="D147" s="39"/>
      <c r="E147" s="39"/>
      <c r="F147" s="39"/>
      <c r="G147" s="39"/>
      <c r="H147" s="39" t="str">
        <f t="shared" si="2"/>
        <v/>
      </c>
      <c r="I147" s="39"/>
      <c r="J147" s="138" t="str">
        <f t="shared" si="3"/>
        <v/>
      </c>
      <c r="K147" s="39"/>
      <c r="L147" s="39"/>
      <c r="M147" s="39"/>
      <c r="N147" s="39"/>
      <c r="O147" s="39"/>
      <c r="P147" s="39"/>
      <c r="Q147" s="39"/>
      <c r="R147" s="39"/>
      <c r="S147" s="120"/>
      <c r="T147" s="53"/>
      <c r="U147" s="54"/>
      <c r="V147" s="54"/>
      <c r="W147" s="54"/>
    </row>
    <row r="148" spans="1:23" hidden="1">
      <c r="A148" s="39"/>
      <c r="B148" s="39"/>
      <c r="C148" s="39"/>
      <c r="D148" s="39"/>
      <c r="E148" s="39"/>
      <c r="F148" s="39"/>
      <c r="G148" s="39"/>
      <c r="H148" s="39" t="str">
        <f>IF($H$127=16,O132,"")</f>
        <v/>
      </c>
      <c r="I148" s="39"/>
      <c r="J148" s="138" t="str">
        <f t="shared" si="3"/>
        <v/>
      </c>
      <c r="K148" s="39"/>
      <c r="L148" s="39"/>
      <c r="M148" s="39"/>
      <c r="N148" s="39"/>
      <c r="O148" s="39"/>
      <c r="P148" s="39"/>
      <c r="Q148" s="39"/>
      <c r="R148" s="39"/>
      <c r="S148" s="120"/>
      <c r="T148" s="53"/>
      <c r="U148" s="54"/>
      <c r="V148" s="54"/>
      <c r="W148" s="54"/>
    </row>
    <row r="149" spans="1:23" hidden="1">
      <c r="A149" s="39"/>
      <c r="B149" s="39"/>
      <c r="C149" s="39"/>
      <c r="D149" s="39"/>
      <c r="E149" s="39"/>
      <c r="F149" s="39"/>
      <c r="G149" s="39"/>
      <c r="H149" s="39" t="str">
        <f>IF($H$127=16,O134,"")</f>
        <v/>
      </c>
      <c r="I149" s="39"/>
      <c r="J149" s="138" t="str">
        <f>IF($J$127=16,O134,"")</f>
        <v/>
      </c>
      <c r="K149" s="39"/>
      <c r="L149" s="39"/>
      <c r="M149" s="39"/>
      <c r="N149" s="39"/>
      <c r="O149" s="39"/>
      <c r="P149" s="39"/>
      <c r="Q149" s="39"/>
      <c r="R149" s="39"/>
      <c r="S149" s="120"/>
      <c r="T149" s="53"/>
      <c r="U149" s="54"/>
      <c r="V149" s="54"/>
      <c r="W149" s="54"/>
    </row>
    <row r="150" spans="1:23" hidden="1">
      <c r="A150" s="39"/>
      <c r="B150" s="39"/>
      <c r="C150" s="39"/>
      <c r="D150" s="39"/>
      <c r="E150" s="39"/>
      <c r="F150" s="39"/>
      <c r="G150" s="39"/>
      <c r="H150" s="39" t="str">
        <f>IF($H$127=16,O135,"")</f>
        <v/>
      </c>
      <c r="I150" s="39"/>
      <c r="J150" s="138" t="str">
        <f>IF($J$127=16,O135,"")</f>
        <v/>
      </c>
      <c r="K150" s="39"/>
      <c r="L150" s="39"/>
      <c r="M150" s="39"/>
      <c r="N150" s="39"/>
      <c r="O150" s="39"/>
      <c r="P150" s="39"/>
      <c r="Q150" s="39"/>
      <c r="R150" s="39"/>
      <c r="S150" s="120"/>
      <c r="T150" s="53"/>
      <c r="U150" s="54"/>
      <c r="V150" s="54"/>
      <c r="W150" s="54"/>
    </row>
    <row r="151" spans="1:23" hidden="1">
      <c r="A151" s="39"/>
      <c r="B151" s="39"/>
      <c r="C151" s="39"/>
      <c r="D151" s="39"/>
      <c r="E151" s="39"/>
      <c r="F151" s="39"/>
      <c r="G151" s="39"/>
      <c r="H151" s="39" t="str">
        <f>IF($H$127=16,O136,"")</f>
        <v/>
      </c>
      <c r="I151" s="39"/>
      <c r="J151" s="138" t="str">
        <f>IF($J$127=16,O136,"")</f>
        <v/>
      </c>
      <c r="K151" s="39"/>
      <c r="L151" s="39"/>
      <c r="M151" s="39"/>
      <c r="N151" s="39"/>
      <c r="O151" s="39"/>
      <c r="P151" s="39"/>
      <c r="Q151" s="39"/>
      <c r="R151" s="39"/>
      <c r="S151" s="120"/>
      <c r="T151" s="53"/>
      <c r="U151" s="54"/>
      <c r="V151" s="54"/>
      <c r="W151" s="54"/>
    </row>
    <row r="152" spans="1:23" hidden="1">
      <c r="A152" s="39"/>
      <c r="B152" s="66"/>
      <c r="C152" s="39"/>
      <c r="D152" s="39"/>
      <c r="E152" s="39"/>
      <c r="F152" s="39"/>
      <c r="G152" s="39"/>
      <c r="H152" s="39" t="str">
        <f>IF($H$127=16,O137,"")</f>
        <v/>
      </c>
      <c r="I152" s="39"/>
      <c r="J152" s="138" t="str">
        <f>IF($J$127=16,O137,"")</f>
        <v/>
      </c>
      <c r="K152" s="39"/>
      <c r="L152" s="39"/>
      <c r="M152" s="39"/>
      <c r="N152" s="39"/>
      <c r="O152" s="39"/>
      <c r="P152" s="39"/>
      <c r="Q152" s="39"/>
      <c r="R152" s="39"/>
      <c r="S152" s="120"/>
      <c r="T152" s="53"/>
      <c r="U152" s="54"/>
      <c r="V152" s="54"/>
      <c r="W152" s="54"/>
    </row>
    <row r="153" spans="1:23" hidden="1">
      <c r="A153" s="39"/>
      <c r="B153" s="66"/>
      <c r="C153" s="39"/>
      <c r="D153" s="39"/>
      <c r="E153" s="39"/>
      <c r="F153" s="39"/>
      <c r="G153" s="39"/>
      <c r="H153" s="39"/>
      <c r="I153" s="39"/>
      <c r="J153" s="138"/>
      <c r="K153" s="39"/>
      <c r="L153" s="39"/>
      <c r="M153" s="39"/>
      <c r="N153" s="39"/>
      <c r="O153" s="39"/>
      <c r="P153" s="39"/>
      <c r="Q153" s="39"/>
      <c r="R153" s="39"/>
      <c r="S153" s="120"/>
      <c r="T153" s="53"/>
      <c r="U153" s="54"/>
      <c r="V153" s="54"/>
      <c r="W153" s="54"/>
    </row>
    <row r="154" spans="1:23" hidden="1">
      <c r="A154" s="39"/>
      <c r="B154" s="66"/>
      <c r="C154" s="39"/>
      <c r="D154" s="39"/>
      <c r="E154" s="39"/>
      <c r="F154" s="39"/>
      <c r="G154" s="39"/>
      <c r="I154" s="39"/>
      <c r="K154" s="39"/>
      <c r="L154" s="39"/>
      <c r="M154" s="39"/>
      <c r="N154" s="39"/>
      <c r="O154" s="39"/>
      <c r="P154" s="39"/>
      <c r="Q154" s="39"/>
      <c r="R154" s="39"/>
      <c r="S154" s="120"/>
      <c r="T154" s="53"/>
      <c r="U154" s="54"/>
      <c r="V154" s="54"/>
      <c r="W154" s="54"/>
    </row>
    <row r="155" spans="1:23" hidden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120"/>
      <c r="T155" s="53"/>
      <c r="U155" s="54"/>
      <c r="V155" s="54"/>
      <c r="W155" s="54"/>
    </row>
    <row r="156" spans="1:23" hidden="1"/>
    <row r="157" spans="1:23" hidden="1"/>
    <row r="158" spans="1:23" hidden="1"/>
    <row r="159" spans="1:23" hidden="1"/>
    <row r="160" spans="1:2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</sheetData>
  <sheetProtection algorithmName="SHA-512" hashValue="rc7atltzAdEemv0s9FrWYJCDFRh6O3abCfT6WhZnHeRuK9Q40ZoqJr7QczDNr6vGs1mY7VkXZeOKE7uEBOTPqQ==" saltValue="9iEL9gOZ74/AUNNIWcgW1w==" spinCount="100000" sheet="1" formatRows="0"/>
  <mergeCells count="144">
    <mergeCell ref="A4:O4"/>
    <mergeCell ref="A1:O1"/>
    <mergeCell ref="A2:O2"/>
    <mergeCell ref="A3:O3"/>
    <mergeCell ref="A6:O6"/>
    <mergeCell ref="A57:E58"/>
    <mergeCell ref="F57:K57"/>
    <mergeCell ref="L57:O57"/>
    <mergeCell ref="F58:H58"/>
    <mergeCell ref="I58:K58"/>
    <mergeCell ref="L58:M58"/>
    <mergeCell ref="N58:O58"/>
    <mergeCell ref="F53:J53"/>
    <mergeCell ref="K53:O53"/>
    <mergeCell ref="F54:J54"/>
    <mergeCell ref="K54:O54"/>
    <mergeCell ref="F55:J55"/>
    <mergeCell ref="K55:O55"/>
    <mergeCell ref="F51:J51"/>
    <mergeCell ref="K51:O51"/>
    <mergeCell ref="A52:E52"/>
    <mergeCell ref="F52:J52"/>
    <mergeCell ref="K52:O52"/>
    <mergeCell ref="B45:D45"/>
    <mergeCell ref="B46:D46"/>
    <mergeCell ref="B43:D43"/>
    <mergeCell ref="G23:I23"/>
    <mergeCell ref="G24:I24"/>
    <mergeCell ref="J23:L23"/>
    <mergeCell ref="J24:L24"/>
    <mergeCell ref="M23:O23"/>
    <mergeCell ref="M24:O24"/>
    <mergeCell ref="M27:O27"/>
    <mergeCell ref="E34:F34"/>
    <mergeCell ref="G34:I34"/>
    <mergeCell ref="G26:I26"/>
    <mergeCell ref="G25:I25"/>
    <mergeCell ref="B27:D27"/>
    <mergeCell ref="E27:F27"/>
    <mergeCell ref="E25:F25"/>
    <mergeCell ref="E26:F26"/>
    <mergeCell ref="E28:F28"/>
    <mergeCell ref="E29:F29"/>
    <mergeCell ref="B34:D34"/>
    <mergeCell ref="J25:L25"/>
    <mergeCell ref="J26:L26"/>
    <mergeCell ref="J28:L28"/>
    <mergeCell ref="M28:O28"/>
    <mergeCell ref="B47:D47"/>
    <mergeCell ref="G28:I28"/>
    <mergeCell ref="G29:I29"/>
    <mergeCell ref="B44:D44"/>
    <mergeCell ref="B41:D41"/>
    <mergeCell ref="B42:D42"/>
    <mergeCell ref="B40:D40"/>
    <mergeCell ref="E41:O41"/>
    <mergeCell ref="E40:O40"/>
    <mergeCell ref="B30:D30"/>
    <mergeCell ref="E30:F30"/>
    <mergeCell ref="B32:D32"/>
    <mergeCell ref="E33:F33"/>
    <mergeCell ref="J33:L33"/>
    <mergeCell ref="J34:L34"/>
    <mergeCell ref="J30:L30"/>
    <mergeCell ref="M30:O30"/>
    <mergeCell ref="J31:L31"/>
    <mergeCell ref="M31:O31"/>
    <mergeCell ref="J32:L32"/>
    <mergeCell ref="G30:I30"/>
    <mergeCell ref="G31:I31"/>
    <mergeCell ref="G32:I32"/>
    <mergeCell ref="G33:I33"/>
    <mergeCell ref="B76:E76"/>
    <mergeCell ref="B77:E77"/>
    <mergeCell ref="A59:E59"/>
    <mergeCell ref="F59:H59"/>
    <mergeCell ref="I59:K59"/>
    <mergeCell ref="L59:M59"/>
    <mergeCell ref="N59:O59"/>
    <mergeCell ref="A60:E60"/>
    <mergeCell ref="A79:O79"/>
    <mergeCell ref="H75:O75"/>
    <mergeCell ref="H76:O77"/>
    <mergeCell ref="K11:O11"/>
    <mergeCell ref="E42:O42"/>
    <mergeCell ref="E43:O43"/>
    <mergeCell ref="E44:O44"/>
    <mergeCell ref="J29:L29"/>
    <mergeCell ref="M29:O29"/>
    <mergeCell ref="J21:L21"/>
    <mergeCell ref="G27:I27"/>
    <mergeCell ref="J27:L27"/>
    <mergeCell ref="E23:F23"/>
    <mergeCell ref="E24:F24"/>
    <mergeCell ref="E31:F31"/>
    <mergeCell ref="E32:F32"/>
    <mergeCell ref="E20:I20"/>
    <mergeCell ref="E21:F21"/>
    <mergeCell ref="G21:I21"/>
    <mergeCell ref="M32:O32"/>
    <mergeCell ref="M33:O33"/>
    <mergeCell ref="M34:O34"/>
    <mergeCell ref="M25:O25"/>
    <mergeCell ref="M26:O26"/>
    <mergeCell ref="A20:A21"/>
    <mergeCell ref="B20:D21"/>
    <mergeCell ref="A14:E14"/>
    <mergeCell ref="F14:J14"/>
    <mergeCell ref="K14:O14"/>
    <mergeCell ref="B22:D22"/>
    <mergeCell ref="E22:F22"/>
    <mergeCell ref="M22:O22"/>
    <mergeCell ref="M21:O21"/>
    <mergeCell ref="J22:L22"/>
    <mergeCell ref="J20:O20"/>
    <mergeCell ref="F15:J16"/>
    <mergeCell ref="K15:O15"/>
    <mergeCell ref="K16:L16"/>
    <mergeCell ref="N16:O16"/>
    <mergeCell ref="G22:I22"/>
    <mergeCell ref="H104:I104"/>
    <mergeCell ref="F60:H60"/>
    <mergeCell ref="I60:K60"/>
    <mergeCell ref="N60:O60"/>
    <mergeCell ref="L60:M60"/>
    <mergeCell ref="A5:O5"/>
    <mergeCell ref="A9:E9"/>
    <mergeCell ref="F9:J9"/>
    <mergeCell ref="K9:O9"/>
    <mergeCell ref="A12:E12"/>
    <mergeCell ref="F12:J12"/>
    <mergeCell ref="K12:O12"/>
    <mergeCell ref="A13:E13"/>
    <mergeCell ref="F13:J13"/>
    <mergeCell ref="K13:O13"/>
    <mergeCell ref="A10:E10"/>
    <mergeCell ref="F10:J10"/>
    <mergeCell ref="K10:O10"/>
    <mergeCell ref="A11:E11"/>
    <mergeCell ref="F11:J11"/>
    <mergeCell ref="E45:O45"/>
    <mergeCell ref="E46:O46"/>
    <mergeCell ref="E47:O47"/>
    <mergeCell ref="A15:E16"/>
  </mergeCells>
  <conditionalFormatting sqref="A5:O5">
    <cfRule type="cellIs" dxfId="39" priority="77" operator="equal">
      <formula>""</formula>
    </cfRule>
  </conditionalFormatting>
  <conditionalFormatting sqref="F15">
    <cfRule type="cellIs" dxfId="38" priority="72" operator="equal">
      <formula>""</formula>
    </cfRule>
  </conditionalFormatting>
  <conditionalFormatting sqref="F10:O14">
    <cfRule type="cellIs" dxfId="37" priority="68" operator="equal">
      <formula>""</formula>
    </cfRule>
  </conditionalFormatting>
  <conditionalFormatting sqref="F52:O54">
    <cfRule type="cellIs" dxfId="36" priority="67" operator="equal">
      <formula>""</formula>
    </cfRule>
  </conditionalFormatting>
  <conditionalFormatting sqref="N16">
    <cfRule type="cellIs" dxfId="35" priority="62" operator="equal">
      <formula>""</formula>
    </cfRule>
  </conditionalFormatting>
  <conditionalFormatting sqref="K15:O15">
    <cfRule type="cellIs" dxfId="34" priority="61" operator="equal">
      <formula>""</formula>
    </cfRule>
  </conditionalFormatting>
  <conditionalFormatting sqref="E41:E47">
    <cfRule type="cellIs" dxfId="33" priority="6" operator="equal">
      <formula>""</formula>
    </cfRule>
  </conditionalFormatting>
  <conditionalFormatting sqref="B34">
    <cfRule type="cellIs" dxfId="32" priority="5" operator="equal">
      <formula>""</formula>
    </cfRule>
  </conditionalFormatting>
  <conditionalFormatting sqref="E22:E34">
    <cfRule type="cellIs" dxfId="31" priority="4" operator="equal">
      <formula>""</formula>
    </cfRule>
  </conditionalFormatting>
  <conditionalFormatting sqref="G30:G34">
    <cfRule type="cellIs" dxfId="30" priority="3" operator="equal">
      <formula>""</formula>
    </cfRule>
  </conditionalFormatting>
  <conditionalFormatting sqref="J22:J34">
    <cfRule type="cellIs" dxfId="29" priority="2" operator="equal">
      <formula>""</formula>
    </cfRule>
  </conditionalFormatting>
  <conditionalFormatting sqref="M22:M34">
    <cfRule type="cellIs" dxfId="28" priority="1" operator="equal">
      <formula>""</formula>
    </cfRule>
  </conditionalFormatting>
  <dataValidations count="8">
    <dataValidation type="list" allowBlank="1" showInputMessage="1" showErrorMessage="1" sqref="K53:O53" xr:uid="{00000000-0002-0000-0500-000001000000}">
      <formula1>$J$129:$J$153</formula1>
    </dataValidation>
    <dataValidation type="list" allowBlank="1" showInputMessage="1" showErrorMessage="1" sqref="F53:J53" xr:uid="{00000000-0002-0000-0500-000002000000}">
      <formula1>$H$129:$H$153</formula1>
    </dataValidation>
    <dataValidation type="list" allowBlank="1" showInputMessage="1" showErrorMessage="1" sqref="F52:O52" xr:uid="{00000000-0002-0000-0500-000003000000}">
      <formula1>$K$108:$K$124</formula1>
    </dataValidation>
    <dataValidation type="decimal" allowBlank="1" showInputMessage="1" showErrorMessage="1" error="Należy wprowadzić prawidłową wartość współczynnika przenikania U" sqref="J22:J34" xr:uid="{00000000-0002-0000-0500-000005000000}">
      <formula1>0</formula1>
      <formula2>10</formula2>
    </dataValidation>
    <dataValidation type="decimal" operator="greaterThan" allowBlank="1" showInputMessage="1" showErrorMessage="1" sqref="F14:O14" xr:uid="{00000000-0002-0000-0500-000008000000}">
      <formula1>1</formula1>
    </dataValidation>
    <dataValidation type="decimal" operator="greaterThan" allowBlank="1" showInputMessage="1" showErrorMessage="1" sqref="F11:O12" xr:uid="{00000000-0002-0000-0500-000009000000}">
      <formula1>0</formula1>
    </dataValidation>
    <dataValidation type="decimal" allowBlank="1" showInputMessage="1" showErrorMessage="1" sqref="F13:O13 N16" xr:uid="{00000000-0002-0000-0500-00000A000000}">
      <formula1>0</formula1>
      <formula2>100</formula2>
    </dataValidation>
    <dataValidation type="decimal" operator="greaterThan" allowBlank="1" showInputMessage="1" showErrorMessage="1" error="Należy wprowadzić prawidłową wartość współczynnika przenikania U" sqref="M22:O34" xr:uid="{161C1686-1A2D-4C28-8BDC-35C532FAC5C0}">
      <formula1>0</formula1>
    </dataValidation>
  </dataValidations>
  <pageMargins left="0.7" right="0.7" top="0.75" bottom="0.75" header="0.3" footer="0.3"/>
  <pageSetup paperSize="9" orientation="portrait" r:id="rId1"/>
  <headerFooter>
    <oddFooter>&amp;C&amp;"Arial,Normalny"&amp;8Strona &amp;P z &amp;N&amp;R&amp;"Arial,Normalny"&amp;8v2023-1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5"/>
  <dimension ref="A1:AA197"/>
  <sheetViews>
    <sheetView zoomScaleNormal="100" zoomScaleSheetLayoutView="100" workbookViewId="0">
      <selection activeCell="A5" sqref="A5:T5"/>
    </sheetView>
  </sheetViews>
  <sheetFormatPr defaultColWidth="9" defaultRowHeight="14.25"/>
  <cols>
    <col min="1" max="7" width="3.625" style="38" customWidth="1"/>
    <col min="8" max="8" width="4.75" style="38" customWidth="1"/>
    <col min="9" max="11" width="5.25" style="38" customWidth="1"/>
    <col min="12" max="12" width="3.625" style="38" customWidth="1"/>
    <col min="13" max="13" width="5" style="38" customWidth="1"/>
    <col min="14" max="14" width="3.625" style="38" customWidth="1"/>
    <col min="15" max="15" width="5.25" style="38" customWidth="1"/>
    <col min="16" max="17" width="3.625" style="38" customWidth="1"/>
    <col min="18" max="18" width="5.125" style="38" customWidth="1"/>
    <col min="19" max="20" width="3.625" style="38" customWidth="1"/>
    <col min="21" max="16384" width="9" style="38"/>
  </cols>
  <sheetData>
    <row r="1" spans="1:20" ht="15.75" customHeight="1">
      <c r="A1" s="250" t="s">
        <v>231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</row>
    <row r="2" spans="1:20" ht="13.5" customHeight="1">
      <c r="A2" s="254" t="s">
        <v>358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</row>
    <row r="3" spans="1:20" ht="26.1" customHeight="1">
      <c r="A3" s="400" t="s">
        <v>391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</row>
    <row r="4" spans="1:20" ht="3.75" customHeight="1">
      <c r="A4" s="256"/>
      <c r="B4" s="256"/>
      <c r="C4" s="256"/>
      <c r="D4" s="256"/>
      <c r="E4" s="256"/>
      <c r="F4" s="256"/>
      <c r="M4" s="39"/>
      <c r="N4" s="44"/>
      <c r="O4" s="44"/>
      <c r="P4" s="44"/>
      <c r="Q4" s="44"/>
      <c r="R4" s="44"/>
      <c r="S4" s="44"/>
      <c r="T4" s="39"/>
    </row>
    <row r="5" spans="1:20" ht="34.5" customHeight="1">
      <c r="A5" s="255"/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</row>
    <row r="6" spans="1:20" ht="11.25" customHeight="1">
      <c r="A6" s="256" t="s">
        <v>166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</row>
    <row r="7" spans="1:20" ht="6" customHeight="1">
      <c r="A7" s="51"/>
      <c r="B7" s="51"/>
      <c r="C7" s="51"/>
      <c r="D7" s="51"/>
      <c r="E7" s="51"/>
      <c r="F7" s="51"/>
      <c r="M7" s="39"/>
      <c r="N7" s="39"/>
      <c r="O7" s="39"/>
      <c r="P7" s="39"/>
      <c r="Q7" s="39"/>
      <c r="R7" s="39"/>
      <c r="S7" s="39"/>
      <c r="T7" s="39"/>
    </row>
    <row r="8" spans="1:20">
      <c r="A8" s="145" t="s">
        <v>385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7"/>
      <c r="P8" s="39"/>
      <c r="Q8" s="39"/>
      <c r="R8" s="39"/>
      <c r="S8" s="39"/>
      <c r="T8" s="39"/>
    </row>
    <row r="9" spans="1:20" ht="3" customHeight="1">
      <c r="A9" s="146"/>
      <c r="B9" s="146"/>
      <c r="C9" s="146"/>
      <c r="D9" s="146"/>
      <c r="E9" s="146"/>
      <c r="F9" s="146"/>
      <c r="G9" s="146"/>
      <c r="H9" s="146"/>
      <c r="K9" s="148"/>
      <c r="L9" s="148"/>
      <c r="N9" s="149"/>
      <c r="O9" s="149"/>
      <c r="Q9" s="148"/>
      <c r="R9" s="148"/>
      <c r="S9" s="148"/>
      <c r="T9" s="148"/>
    </row>
    <row r="10" spans="1:20" ht="24.75" customHeight="1">
      <c r="A10" s="401"/>
      <c r="B10" s="401"/>
      <c r="C10" s="401"/>
      <c r="D10" s="401"/>
      <c r="E10" s="401"/>
      <c r="F10" s="401"/>
      <c r="G10" s="401"/>
      <c r="H10" s="401"/>
      <c r="I10" s="401"/>
      <c r="J10" s="401"/>
      <c r="K10" s="401"/>
      <c r="L10" s="401"/>
      <c r="M10" s="401"/>
      <c r="N10" s="401"/>
      <c r="O10" s="401"/>
      <c r="P10" s="401"/>
      <c r="Q10" s="401"/>
      <c r="R10" s="401"/>
      <c r="S10" s="401"/>
      <c r="T10" s="401"/>
    </row>
    <row r="11" spans="1:20" ht="5.25" customHeight="1">
      <c r="A11" s="151"/>
      <c r="B11" s="148"/>
      <c r="C11" s="149"/>
      <c r="D11" s="149"/>
      <c r="E11" s="153"/>
      <c r="F11" s="83"/>
      <c r="G11" s="155"/>
      <c r="K11" s="156"/>
      <c r="L11" s="156"/>
      <c r="N11" s="148"/>
      <c r="Q11" s="148"/>
      <c r="R11" s="148"/>
      <c r="S11" s="148"/>
    </row>
    <row r="12" spans="1:20">
      <c r="A12" s="145" t="s">
        <v>232</v>
      </c>
      <c r="B12" s="156"/>
      <c r="C12" s="148"/>
      <c r="D12" s="82"/>
      <c r="E12" s="148"/>
      <c r="F12" s="149"/>
      <c r="G12" s="149"/>
      <c r="K12" s="156"/>
      <c r="L12" s="156"/>
      <c r="N12" s="148"/>
      <c r="Q12" s="148"/>
      <c r="R12" s="148"/>
      <c r="S12" s="148"/>
    </row>
    <row r="13" spans="1:20" ht="3.75" customHeight="1">
      <c r="A13" s="146"/>
      <c r="B13" s="156"/>
      <c r="C13" s="148"/>
      <c r="D13" s="82"/>
      <c r="E13" s="148"/>
      <c r="F13" s="149"/>
      <c r="G13" s="149"/>
      <c r="K13" s="156"/>
      <c r="L13" s="156"/>
      <c r="N13" s="148"/>
      <c r="Q13" s="148"/>
      <c r="R13" s="148"/>
      <c r="S13" s="148"/>
    </row>
    <row r="14" spans="1:20">
      <c r="A14" s="402" t="s">
        <v>233</v>
      </c>
      <c r="B14" s="402"/>
      <c r="C14" s="402"/>
      <c r="D14" s="402"/>
      <c r="E14" s="402"/>
      <c r="F14" s="403" t="s">
        <v>234</v>
      </c>
      <c r="G14" s="403"/>
      <c r="H14" s="403"/>
      <c r="I14" s="404"/>
      <c r="J14" s="404"/>
      <c r="K14" s="404"/>
      <c r="L14" s="404"/>
      <c r="N14" s="148"/>
      <c r="Q14" s="148"/>
      <c r="R14" s="148"/>
      <c r="S14" s="148"/>
    </row>
    <row r="15" spans="1:20">
      <c r="A15" s="405" t="s">
        <v>235</v>
      </c>
      <c r="B15" s="405"/>
      <c r="C15" s="405"/>
      <c r="D15" s="405"/>
      <c r="E15" s="405"/>
      <c r="F15" s="405"/>
      <c r="G15" s="405"/>
      <c r="H15" s="405"/>
      <c r="I15" s="405"/>
      <c r="J15" s="151"/>
      <c r="K15" s="151"/>
      <c r="L15" s="151"/>
      <c r="M15" s="151"/>
      <c r="N15" s="151"/>
      <c r="O15" s="151"/>
      <c r="Q15" s="151"/>
      <c r="R15" s="151"/>
      <c r="S15" s="151"/>
    </row>
    <row r="16" spans="1:20">
      <c r="A16" s="402" t="s">
        <v>236</v>
      </c>
      <c r="B16" s="402"/>
      <c r="C16" s="402"/>
      <c r="D16" s="402"/>
      <c r="E16" s="402"/>
      <c r="F16" s="403" t="s">
        <v>386</v>
      </c>
      <c r="G16" s="403"/>
      <c r="H16" s="403"/>
      <c r="I16" s="406"/>
      <c r="J16" s="406"/>
      <c r="K16" s="406"/>
      <c r="L16" s="406"/>
      <c r="M16" s="146"/>
      <c r="N16" s="146"/>
      <c r="P16" s="146"/>
      <c r="Q16" s="146"/>
      <c r="R16" s="146"/>
      <c r="S16" s="146"/>
      <c r="T16" s="146"/>
    </row>
    <row r="17" spans="1:20">
      <c r="A17" s="402" t="s">
        <v>238</v>
      </c>
      <c r="B17" s="402"/>
      <c r="C17" s="402"/>
      <c r="D17" s="402"/>
      <c r="E17" s="402"/>
      <c r="F17" s="409" t="s">
        <v>239</v>
      </c>
      <c r="G17" s="409"/>
      <c r="H17" s="409"/>
      <c r="I17" s="406"/>
      <c r="J17" s="406"/>
      <c r="K17" s="406"/>
      <c r="L17" s="406"/>
      <c r="P17" s="39"/>
      <c r="Q17" s="39"/>
      <c r="R17" s="39"/>
      <c r="S17" s="39"/>
      <c r="T17" s="39"/>
    </row>
    <row r="18" spans="1:20">
      <c r="A18" s="402" t="s">
        <v>240</v>
      </c>
      <c r="B18" s="402"/>
      <c r="C18" s="402"/>
      <c r="D18" s="402"/>
      <c r="E18" s="402"/>
      <c r="F18" s="407" t="s">
        <v>241</v>
      </c>
      <c r="G18" s="407"/>
      <c r="H18" s="407"/>
      <c r="I18" s="300"/>
      <c r="J18" s="300"/>
      <c r="K18" s="300"/>
      <c r="L18" s="300"/>
      <c r="M18" s="146"/>
      <c r="N18" s="146"/>
      <c r="O18" s="146"/>
      <c r="P18" s="146"/>
      <c r="Q18" s="146"/>
      <c r="R18" s="146"/>
      <c r="S18" s="146"/>
      <c r="T18" s="146"/>
    </row>
    <row r="19" spans="1:20" ht="29.25" customHeight="1">
      <c r="A19" s="402" t="s">
        <v>242</v>
      </c>
      <c r="B19" s="402"/>
      <c r="C19" s="402"/>
      <c r="D19" s="402"/>
      <c r="E19" s="402"/>
      <c r="F19" s="300"/>
      <c r="G19" s="300"/>
      <c r="H19" s="300"/>
      <c r="I19" s="300"/>
      <c r="J19" s="300"/>
      <c r="K19" s="300"/>
      <c r="L19" s="300"/>
      <c r="M19" s="146"/>
      <c r="N19" s="146"/>
      <c r="O19" s="146"/>
      <c r="P19" s="146"/>
      <c r="Q19" s="146"/>
      <c r="R19" s="146"/>
      <c r="S19" s="146"/>
      <c r="T19" s="146"/>
    </row>
    <row r="20" spans="1:20" ht="3.75" customHeight="1">
      <c r="A20" s="52"/>
      <c r="B20" s="43"/>
      <c r="C20" s="43"/>
      <c r="D20" s="43"/>
      <c r="E20" s="43"/>
      <c r="F20" s="43"/>
      <c r="L20" s="146"/>
      <c r="M20" s="146"/>
      <c r="N20" s="146"/>
      <c r="O20" s="146"/>
      <c r="P20" s="146"/>
      <c r="Q20" s="146"/>
      <c r="R20" s="146"/>
      <c r="S20" s="146"/>
      <c r="T20" s="146"/>
    </row>
    <row r="21" spans="1:20" ht="26.25" customHeight="1">
      <c r="A21" s="410" t="s">
        <v>392</v>
      </c>
      <c r="B21" s="410"/>
      <c r="C21" s="410"/>
      <c r="D21" s="410"/>
      <c r="E21" s="410"/>
      <c r="F21" s="410"/>
      <c r="G21" s="410"/>
      <c r="H21" s="410"/>
      <c r="I21" s="410"/>
      <c r="J21" s="410"/>
      <c r="K21" s="410"/>
      <c r="L21" s="410"/>
      <c r="M21" s="410"/>
      <c r="N21" s="410"/>
      <c r="O21" s="410"/>
      <c r="P21" s="410"/>
      <c r="Q21" s="410"/>
      <c r="R21" s="410"/>
      <c r="S21" s="410"/>
      <c r="T21" s="410"/>
    </row>
    <row r="22" spans="1:20" ht="3.75" customHeight="1">
      <c r="A22" s="145"/>
      <c r="B22" s="43"/>
      <c r="C22" s="43"/>
      <c r="D22" s="43"/>
      <c r="E22" s="43"/>
      <c r="F22" s="43"/>
      <c r="L22" s="146"/>
      <c r="M22" s="146"/>
      <c r="N22" s="146"/>
      <c r="O22" s="146"/>
      <c r="P22" s="146"/>
      <c r="Q22" s="146"/>
      <c r="R22" s="146"/>
      <c r="S22" s="146"/>
      <c r="T22" s="146"/>
    </row>
    <row r="23" spans="1:20">
      <c r="A23" s="402" t="s">
        <v>243</v>
      </c>
      <c r="B23" s="402"/>
      <c r="C23" s="402"/>
      <c r="D23" s="402"/>
      <c r="E23" s="402"/>
      <c r="F23" s="402"/>
      <c r="G23" s="402"/>
      <c r="H23" s="402"/>
      <c r="I23" s="402"/>
      <c r="J23" s="402"/>
      <c r="K23" s="402"/>
      <c r="L23" s="402"/>
      <c r="M23" s="408"/>
      <c r="N23" s="408"/>
      <c r="O23" s="408"/>
      <c r="P23" s="146"/>
      <c r="S23" s="146"/>
      <c r="T23" s="146"/>
    </row>
    <row r="24" spans="1:20">
      <c r="A24" s="402" t="s">
        <v>244</v>
      </c>
      <c r="B24" s="402"/>
      <c r="C24" s="402"/>
      <c r="D24" s="402"/>
      <c r="E24" s="402"/>
      <c r="F24" s="402"/>
      <c r="G24" s="402"/>
      <c r="H24" s="402"/>
      <c r="I24" s="402"/>
      <c r="J24" s="402"/>
      <c r="K24" s="402"/>
      <c r="L24" s="402"/>
      <c r="M24" s="408"/>
      <c r="N24" s="408"/>
      <c r="O24" s="408"/>
      <c r="P24" s="146"/>
      <c r="S24" s="146"/>
      <c r="T24" s="146"/>
    </row>
    <row r="25" spans="1:20" ht="28.5" customHeight="1">
      <c r="A25" s="262" t="s">
        <v>245</v>
      </c>
      <c r="B25" s="262"/>
      <c r="C25" s="262"/>
      <c r="D25" s="262"/>
      <c r="E25" s="262"/>
      <c r="F25" s="262"/>
      <c r="G25" s="262"/>
      <c r="H25" s="262"/>
      <c r="I25" s="262"/>
      <c r="J25" s="262"/>
      <c r="K25" s="262"/>
      <c r="L25" s="262"/>
      <c r="M25" s="408"/>
      <c r="N25" s="408"/>
      <c r="O25" s="408"/>
      <c r="P25" s="146"/>
      <c r="S25" s="146"/>
      <c r="T25" s="146"/>
    </row>
    <row r="26" spans="1:20" ht="15.75">
      <c r="A26" s="402" t="s">
        <v>387</v>
      </c>
      <c r="B26" s="402"/>
      <c r="C26" s="402"/>
      <c r="D26" s="402"/>
      <c r="E26" s="402"/>
      <c r="F26" s="402"/>
      <c r="G26" s="402"/>
      <c r="H26" s="402"/>
      <c r="I26" s="402"/>
      <c r="J26" s="402"/>
      <c r="K26" s="402"/>
      <c r="L26" s="402"/>
      <c r="M26" s="411" t="str">
        <f>IF(M25&lt;&gt;"",(((M23/3.6)*Y91)+(M24*Y90))-(M25*Y90),"N/d")</f>
        <v>N/d</v>
      </c>
      <c r="N26" s="411"/>
      <c r="O26" s="411"/>
      <c r="P26" s="146"/>
      <c r="S26" s="146"/>
      <c r="T26" s="146"/>
    </row>
    <row r="27" spans="1:20" ht="6.75" customHeight="1">
      <c r="A27" s="145"/>
      <c r="B27" s="43"/>
      <c r="C27" s="43"/>
      <c r="D27" s="43"/>
      <c r="E27" s="43"/>
      <c r="F27" s="43"/>
      <c r="L27" s="146"/>
      <c r="M27" s="146"/>
      <c r="N27" s="146"/>
      <c r="O27" s="146"/>
      <c r="P27" s="146"/>
      <c r="Q27" s="146"/>
      <c r="R27" s="146"/>
      <c r="S27" s="146"/>
      <c r="T27" s="146"/>
    </row>
    <row r="28" spans="1:20">
      <c r="A28" s="410" t="s">
        <v>388</v>
      </c>
      <c r="B28" s="410"/>
      <c r="C28" s="410"/>
      <c r="D28" s="410"/>
      <c r="E28" s="410"/>
      <c r="F28" s="410"/>
      <c r="G28" s="410"/>
      <c r="H28" s="410"/>
      <c r="I28" s="410"/>
      <c r="J28" s="410"/>
      <c r="K28" s="410"/>
      <c r="L28" s="410"/>
      <c r="M28" s="410"/>
      <c r="N28" s="410"/>
      <c r="O28" s="410"/>
      <c r="P28" s="410"/>
      <c r="Q28" s="410"/>
      <c r="R28" s="410"/>
      <c r="S28" s="410"/>
      <c r="T28" s="410"/>
    </row>
    <row r="29" spans="1:20" ht="2.25" customHeight="1">
      <c r="A29" s="145"/>
      <c r="B29" s="43"/>
      <c r="C29" s="43"/>
      <c r="D29" s="43"/>
      <c r="E29" s="43"/>
      <c r="F29" s="43"/>
      <c r="L29" s="146"/>
      <c r="M29" s="146"/>
      <c r="N29" s="146"/>
      <c r="O29" s="146"/>
      <c r="P29" s="146"/>
      <c r="Q29" s="146"/>
      <c r="R29" s="146"/>
      <c r="S29" s="146"/>
      <c r="T29" s="146"/>
    </row>
    <row r="30" spans="1:20">
      <c r="A30" s="402" t="s">
        <v>246</v>
      </c>
      <c r="B30" s="402"/>
      <c r="C30" s="402"/>
      <c r="D30" s="402"/>
      <c r="E30" s="402"/>
      <c r="F30" s="402"/>
      <c r="G30" s="402"/>
      <c r="H30" s="402"/>
      <c r="I30" s="402"/>
      <c r="J30" s="402"/>
      <c r="K30" s="402"/>
      <c r="L30" s="402"/>
      <c r="M30" s="408"/>
      <c r="N30" s="408"/>
      <c r="O30" s="408"/>
      <c r="P30" s="146"/>
      <c r="Q30" s="146"/>
      <c r="R30" s="146"/>
      <c r="S30" s="146"/>
      <c r="T30" s="146"/>
    </row>
    <row r="31" spans="1:20">
      <c r="A31" s="402" t="s">
        <v>247</v>
      </c>
      <c r="B31" s="402"/>
      <c r="C31" s="402"/>
      <c r="D31" s="402"/>
      <c r="E31" s="402"/>
      <c r="F31" s="402"/>
      <c r="G31" s="402"/>
      <c r="H31" s="402"/>
      <c r="I31" s="402"/>
      <c r="J31" s="402"/>
      <c r="K31" s="402"/>
      <c r="L31" s="402"/>
      <c r="M31" s="408"/>
      <c r="N31" s="408"/>
      <c r="O31" s="408"/>
      <c r="P31" s="146"/>
      <c r="Q31" s="146"/>
      <c r="R31" s="146"/>
      <c r="S31" s="146"/>
      <c r="T31" s="146"/>
    </row>
    <row r="32" spans="1:20">
      <c r="A32" s="402" t="s">
        <v>248</v>
      </c>
      <c r="B32" s="402"/>
      <c r="C32" s="402"/>
      <c r="D32" s="402"/>
      <c r="E32" s="402"/>
      <c r="F32" s="402"/>
      <c r="G32" s="402"/>
      <c r="H32" s="402"/>
      <c r="I32" s="402"/>
      <c r="J32" s="402"/>
      <c r="K32" s="402"/>
      <c r="L32" s="402"/>
      <c r="M32" s="411" t="str">
        <f>IF(M31&lt;&gt;"",M30-M31,"")</f>
        <v/>
      </c>
      <c r="N32" s="411"/>
      <c r="O32" s="411"/>
      <c r="P32" s="146"/>
      <c r="Q32" s="146"/>
      <c r="R32" s="146"/>
      <c r="S32" s="146"/>
      <c r="T32" s="146"/>
    </row>
    <row r="33" spans="1:20" ht="15.75">
      <c r="A33" s="402" t="s">
        <v>387</v>
      </c>
      <c r="B33" s="402"/>
      <c r="C33" s="402"/>
      <c r="D33" s="402"/>
      <c r="E33" s="402"/>
      <c r="F33" s="402"/>
      <c r="G33" s="402"/>
      <c r="H33" s="402"/>
      <c r="I33" s="402"/>
      <c r="J33" s="402"/>
      <c r="K33" s="402"/>
      <c r="L33" s="402"/>
      <c r="M33" s="411" t="str">
        <f>IF(M32&lt;&gt;"",((M30-M31)*Y90),"N/d")</f>
        <v>N/d</v>
      </c>
      <c r="N33" s="411"/>
      <c r="O33" s="411"/>
      <c r="P33" s="146"/>
      <c r="Q33" s="146"/>
      <c r="R33" s="146"/>
      <c r="S33" s="146"/>
      <c r="T33" s="146"/>
    </row>
    <row r="34" spans="1:20" ht="3.75" customHeight="1">
      <c r="A34" s="145"/>
      <c r="B34" s="43"/>
      <c r="C34" s="43"/>
      <c r="D34" s="43"/>
      <c r="E34" s="43"/>
      <c r="F34" s="43"/>
      <c r="L34" s="146"/>
      <c r="M34" s="146"/>
      <c r="N34" s="146"/>
      <c r="O34" s="146"/>
      <c r="P34" s="146"/>
      <c r="Q34" s="146"/>
      <c r="R34" s="146"/>
      <c r="S34" s="146"/>
      <c r="T34" s="146"/>
    </row>
    <row r="35" spans="1:20">
      <c r="A35" s="410" t="s">
        <v>389</v>
      </c>
      <c r="B35" s="410"/>
      <c r="C35" s="410"/>
      <c r="D35" s="410"/>
      <c r="E35" s="410"/>
      <c r="F35" s="410"/>
      <c r="G35" s="410"/>
      <c r="H35" s="410"/>
      <c r="I35" s="410"/>
      <c r="J35" s="410"/>
      <c r="K35" s="410"/>
      <c r="L35" s="410"/>
      <c r="M35" s="410"/>
      <c r="N35" s="410"/>
      <c r="O35" s="410"/>
      <c r="P35" s="410"/>
      <c r="Q35" s="410"/>
      <c r="R35" s="410"/>
      <c r="S35" s="410"/>
      <c r="T35" s="410"/>
    </row>
    <row r="36" spans="1:20" ht="4.5" customHeight="1">
      <c r="A36" s="145"/>
      <c r="B36" s="43"/>
      <c r="C36" s="43"/>
      <c r="D36" s="43"/>
      <c r="E36" s="43"/>
      <c r="F36" s="43"/>
      <c r="L36" s="146"/>
      <c r="M36" s="146"/>
      <c r="N36" s="146"/>
      <c r="O36" s="146"/>
      <c r="P36" s="146"/>
      <c r="Q36" s="146"/>
      <c r="R36" s="146"/>
      <c r="S36" s="146"/>
      <c r="T36" s="146"/>
    </row>
    <row r="37" spans="1:20">
      <c r="A37" s="402" t="s">
        <v>249</v>
      </c>
      <c r="B37" s="402"/>
      <c r="C37" s="402"/>
      <c r="D37" s="402"/>
      <c r="E37" s="402"/>
      <c r="F37" s="402"/>
      <c r="G37" s="402"/>
      <c r="H37" s="402"/>
      <c r="I37" s="402"/>
      <c r="J37" s="402"/>
      <c r="K37" s="402"/>
      <c r="L37" s="402"/>
      <c r="M37" s="408"/>
      <c r="N37" s="408"/>
      <c r="O37" s="408"/>
      <c r="P37" s="146"/>
      <c r="Q37" s="146"/>
      <c r="R37" s="146"/>
      <c r="S37" s="146"/>
      <c r="T37" s="146"/>
    </row>
    <row r="38" spans="1:20" ht="26.1" customHeight="1">
      <c r="A38" s="281" t="s">
        <v>250</v>
      </c>
      <c r="B38" s="385"/>
      <c r="C38" s="385"/>
      <c r="D38" s="385"/>
      <c r="E38" s="385"/>
      <c r="F38" s="385"/>
      <c r="G38" s="385"/>
      <c r="H38" s="385"/>
      <c r="I38" s="385"/>
      <c r="J38" s="385"/>
      <c r="K38" s="385"/>
      <c r="L38" s="282"/>
      <c r="M38" s="408"/>
      <c r="N38" s="408"/>
      <c r="O38" s="408"/>
      <c r="P38" s="146"/>
      <c r="Q38" s="146"/>
      <c r="R38" s="146"/>
      <c r="S38" s="146"/>
      <c r="T38" s="146"/>
    </row>
    <row r="39" spans="1:20">
      <c r="A39" s="402" t="s">
        <v>251</v>
      </c>
      <c r="B39" s="402"/>
      <c r="C39" s="402"/>
      <c r="D39" s="402"/>
      <c r="E39" s="402"/>
      <c r="F39" s="402"/>
      <c r="G39" s="402"/>
      <c r="H39" s="402"/>
      <c r="I39" s="402"/>
      <c r="J39" s="402"/>
      <c r="K39" s="402"/>
      <c r="L39" s="402"/>
      <c r="M39" s="408"/>
      <c r="N39" s="408"/>
      <c r="O39" s="408"/>
      <c r="P39" s="344"/>
      <c r="Q39" s="344"/>
      <c r="R39" s="146"/>
      <c r="S39" s="146"/>
      <c r="T39" s="146"/>
    </row>
    <row r="40" spans="1:20">
      <c r="A40" s="402" t="s">
        <v>252</v>
      </c>
      <c r="B40" s="402"/>
      <c r="C40" s="402"/>
      <c r="D40" s="402"/>
      <c r="E40" s="402"/>
      <c r="F40" s="402"/>
      <c r="G40" s="402"/>
      <c r="H40" s="402"/>
      <c r="I40" s="402"/>
      <c r="J40" s="402"/>
      <c r="K40" s="402"/>
      <c r="L40" s="402"/>
      <c r="M40" s="411" t="str">
        <f>IF(P39="GJ/rok",(M37+(M38*3.6))-M39,IF(P39="MWh/rok",((M37/3.6)+M38)-M39,"N/d"))</f>
        <v>N/d</v>
      </c>
      <c r="N40" s="411"/>
      <c r="O40" s="411"/>
      <c r="P40" s="413" t="str">
        <f>IF(P39="GJ/rok","GJ/rok",IF(P39="MWh/rok","MWh/rok",""))</f>
        <v/>
      </c>
      <c r="Q40" s="413"/>
      <c r="R40" s="146"/>
      <c r="S40" s="146"/>
      <c r="T40" s="146"/>
    </row>
    <row r="41" spans="1:20" ht="5.25" customHeight="1">
      <c r="A41" s="145"/>
      <c r="B41" s="43"/>
      <c r="C41" s="43"/>
      <c r="D41" s="43"/>
      <c r="E41" s="43"/>
      <c r="F41" s="43"/>
      <c r="L41" s="146"/>
      <c r="M41" s="146"/>
      <c r="N41" s="146"/>
      <c r="O41" s="146"/>
      <c r="P41" s="146"/>
      <c r="Q41" s="146"/>
      <c r="R41" s="146"/>
      <c r="S41" s="146"/>
      <c r="T41" s="146"/>
    </row>
    <row r="42" spans="1:20" ht="18.75">
      <c r="A42" s="415" t="s">
        <v>390</v>
      </c>
      <c r="B42" s="415"/>
      <c r="C42" s="415"/>
      <c r="D42" s="415"/>
      <c r="E42" s="415"/>
      <c r="F42" s="415"/>
      <c r="G42" s="415"/>
      <c r="H42" s="415"/>
      <c r="I42" s="415"/>
      <c r="J42" s="415"/>
      <c r="K42" s="415"/>
      <c r="L42" s="415"/>
      <c r="M42" s="415"/>
      <c r="N42" s="415"/>
      <c r="O42" s="415"/>
      <c r="P42" s="415"/>
      <c r="Q42" s="415"/>
      <c r="R42" s="415"/>
      <c r="S42" s="415"/>
      <c r="T42" s="415"/>
    </row>
    <row r="43" spans="1:20" ht="3" customHeight="1">
      <c r="L43" s="146"/>
      <c r="M43" s="146"/>
      <c r="N43" s="146"/>
      <c r="O43" s="146"/>
      <c r="P43" s="146"/>
      <c r="Q43" s="146"/>
      <c r="R43" s="146"/>
      <c r="S43" s="146"/>
      <c r="T43" s="146"/>
    </row>
    <row r="44" spans="1:20">
      <c r="A44" s="253" t="s">
        <v>167</v>
      </c>
      <c r="B44" s="253"/>
      <c r="C44" s="253"/>
      <c r="D44" s="253"/>
      <c r="E44" s="253"/>
      <c r="F44" s="253"/>
      <c r="G44" s="253"/>
      <c r="H44" s="253"/>
      <c r="I44" s="253" t="s">
        <v>168</v>
      </c>
      <c r="J44" s="253"/>
      <c r="K44" s="253"/>
      <c r="L44" s="253"/>
      <c r="M44" s="253"/>
      <c r="N44" s="253"/>
      <c r="O44" s="253" t="s">
        <v>112</v>
      </c>
      <c r="P44" s="253"/>
      <c r="Q44" s="253"/>
      <c r="R44" s="253"/>
      <c r="S44" s="253"/>
      <c r="T44" s="253"/>
    </row>
    <row r="45" spans="1:20" ht="24.95" customHeight="1">
      <c r="A45" s="345" t="s">
        <v>171</v>
      </c>
      <c r="B45" s="345"/>
      <c r="C45" s="345"/>
      <c r="D45" s="345"/>
      <c r="E45" s="345"/>
      <c r="F45" s="345"/>
      <c r="G45" s="345"/>
      <c r="H45" s="345"/>
      <c r="I45" s="318"/>
      <c r="J45" s="416"/>
      <c r="K45" s="416"/>
      <c r="L45" s="416"/>
      <c r="M45" s="416"/>
      <c r="N45" s="417"/>
      <c r="O45" s="317"/>
      <c r="P45" s="317"/>
      <c r="Q45" s="317"/>
      <c r="R45" s="317"/>
      <c r="S45" s="317"/>
      <c r="T45" s="317"/>
    </row>
    <row r="46" spans="1:20" ht="24.95" customHeight="1">
      <c r="A46" s="264" t="s">
        <v>183</v>
      </c>
      <c r="B46" s="296"/>
      <c r="C46" s="296"/>
      <c r="D46" s="296"/>
      <c r="E46" s="296"/>
      <c r="F46" s="296"/>
      <c r="G46" s="296"/>
      <c r="H46" s="265"/>
      <c r="I46" s="418"/>
      <c r="J46" s="418"/>
      <c r="K46" s="418"/>
      <c r="L46" s="418"/>
      <c r="M46" s="418"/>
      <c r="N46" s="418"/>
      <c r="O46" s="419"/>
      <c r="P46" s="419"/>
      <c r="Q46" s="419"/>
      <c r="R46" s="419"/>
      <c r="S46" s="419"/>
      <c r="T46" s="419"/>
    </row>
    <row r="47" spans="1:20">
      <c r="A47" s="262" t="s">
        <v>197</v>
      </c>
      <c r="B47" s="262"/>
      <c r="C47" s="262"/>
      <c r="D47" s="262"/>
      <c r="E47" s="262"/>
      <c r="F47" s="262"/>
      <c r="G47" s="262"/>
      <c r="H47" s="262"/>
      <c r="I47" s="285" t="str">
        <f>IF(M37&lt;&gt;"",M37,"")</f>
        <v/>
      </c>
      <c r="J47" s="285"/>
      <c r="K47" s="285"/>
      <c r="L47" s="285"/>
      <c r="M47" s="285"/>
      <c r="N47" s="285"/>
      <c r="O47" s="285" t="str">
        <f>IF(O46&lt;&gt;"",M40,"")</f>
        <v/>
      </c>
      <c r="P47" s="285"/>
      <c r="Q47" s="285"/>
      <c r="R47" s="285"/>
      <c r="S47" s="285"/>
      <c r="T47" s="285"/>
    </row>
    <row r="48" spans="1:20" ht="14.25" customHeight="1">
      <c r="A48" s="402" t="s">
        <v>198</v>
      </c>
      <c r="B48" s="402"/>
      <c r="C48" s="402"/>
      <c r="D48" s="402"/>
      <c r="E48" s="402"/>
      <c r="F48" s="402"/>
      <c r="G48" s="402"/>
      <c r="H48" s="402"/>
      <c r="I48" s="289" t="str">
        <f>IF(I46&lt;&gt;"",VLOOKUP(H123,KOBIZE!T7:X57,5),"N/d")</f>
        <v>N/d</v>
      </c>
      <c r="J48" s="289"/>
      <c r="K48" s="289"/>
      <c r="L48" s="289"/>
      <c r="M48" s="289"/>
      <c r="N48" s="289"/>
      <c r="O48" s="289" t="str">
        <f>IF(O46&lt;&gt;"",VLOOKUP(J123,KOBIZE!T7:X57,5),"N/d")</f>
        <v>N/d</v>
      </c>
      <c r="P48" s="289"/>
      <c r="Q48" s="289"/>
      <c r="R48" s="289"/>
      <c r="S48" s="289"/>
      <c r="T48" s="289"/>
    </row>
    <row r="49" spans="1:20" ht="5.25" customHeight="1">
      <c r="L49" s="146"/>
      <c r="M49" s="146"/>
      <c r="N49" s="146"/>
      <c r="O49" s="146"/>
      <c r="P49" s="146"/>
      <c r="Q49" s="146"/>
      <c r="R49" s="146"/>
      <c r="S49" s="146"/>
      <c r="T49" s="146"/>
    </row>
    <row r="50" spans="1:20">
      <c r="A50" s="263" t="s">
        <v>109</v>
      </c>
      <c r="B50" s="263"/>
      <c r="C50" s="263"/>
      <c r="D50" s="263"/>
      <c r="E50" s="263"/>
      <c r="F50" s="263"/>
      <c r="G50" s="263"/>
      <c r="H50" s="263"/>
      <c r="I50" s="421" t="s">
        <v>110</v>
      </c>
      <c r="J50" s="421"/>
      <c r="K50" s="421"/>
      <c r="L50" s="421"/>
      <c r="M50" s="421"/>
      <c r="N50" s="421"/>
      <c r="O50" s="421" t="s">
        <v>111</v>
      </c>
      <c r="P50" s="421"/>
      <c r="Q50" s="421"/>
      <c r="R50" s="421"/>
      <c r="S50" s="421"/>
      <c r="T50" s="421"/>
    </row>
    <row r="51" spans="1:20">
      <c r="A51" s="263"/>
      <c r="B51" s="263"/>
      <c r="C51" s="263"/>
      <c r="D51" s="263"/>
      <c r="E51" s="263"/>
      <c r="F51" s="263"/>
      <c r="G51" s="263"/>
      <c r="H51" s="263"/>
      <c r="I51" s="422" t="s">
        <v>115</v>
      </c>
      <c r="J51" s="423"/>
      <c r="K51" s="424"/>
      <c r="L51" s="425" t="s">
        <v>112</v>
      </c>
      <c r="M51" s="426"/>
      <c r="N51" s="427"/>
      <c r="O51" s="428" t="s">
        <v>113</v>
      </c>
      <c r="P51" s="428"/>
      <c r="Q51" s="428"/>
      <c r="R51" s="428" t="s">
        <v>114</v>
      </c>
      <c r="S51" s="428"/>
      <c r="T51" s="428"/>
    </row>
    <row r="52" spans="1:20">
      <c r="A52" s="412">
        <v>1</v>
      </c>
      <c r="B52" s="412"/>
      <c r="C52" s="412"/>
      <c r="D52" s="412"/>
      <c r="E52" s="412"/>
      <c r="F52" s="412"/>
      <c r="G52" s="412"/>
      <c r="H52" s="412"/>
      <c r="I52" s="414">
        <v>2</v>
      </c>
      <c r="J52" s="414"/>
      <c r="K52" s="414"/>
      <c r="L52" s="414">
        <v>3</v>
      </c>
      <c r="M52" s="414"/>
      <c r="N52" s="414"/>
      <c r="O52" s="414">
        <v>4</v>
      </c>
      <c r="P52" s="414"/>
      <c r="Q52" s="414"/>
      <c r="R52" s="414">
        <v>5</v>
      </c>
      <c r="S52" s="414"/>
      <c r="T52" s="414"/>
    </row>
    <row r="53" spans="1:20">
      <c r="A53" s="295" t="s">
        <v>364</v>
      </c>
      <c r="B53" s="295"/>
      <c r="C53" s="295"/>
      <c r="D53" s="295"/>
      <c r="E53" s="295"/>
      <c r="F53" s="295"/>
      <c r="G53" s="295"/>
      <c r="H53" s="295"/>
      <c r="I53" s="336" t="str">
        <f>IF(I47&lt;&gt;"",I47*I48,"")</f>
        <v/>
      </c>
      <c r="J53" s="336"/>
      <c r="K53" s="336"/>
      <c r="L53" s="336" t="str">
        <f>IF(O47&lt;&gt;"",O47*O48,"")</f>
        <v/>
      </c>
      <c r="M53" s="336"/>
      <c r="N53" s="336"/>
      <c r="O53" s="420" t="str">
        <f>IF(I53&lt;&gt;"",I53-L53,"N/d")</f>
        <v>N/d</v>
      </c>
      <c r="P53" s="420"/>
      <c r="Q53" s="420"/>
      <c r="R53" s="285" t="str">
        <f>IF(I53&lt;&gt;"",(O53/I53)*100,"N/d")</f>
        <v>N/d</v>
      </c>
      <c r="S53" s="285"/>
      <c r="T53" s="285"/>
    </row>
    <row r="54" spans="1:20">
      <c r="A54" s="52"/>
      <c r="B54" s="43"/>
      <c r="C54" s="43"/>
      <c r="D54" s="43"/>
      <c r="E54" s="43"/>
      <c r="F54" s="43"/>
      <c r="L54" s="146"/>
      <c r="M54" s="146"/>
      <c r="N54" s="146"/>
      <c r="O54" s="146"/>
      <c r="P54" s="146"/>
      <c r="Q54" s="146"/>
      <c r="R54" s="146"/>
      <c r="S54" s="146"/>
      <c r="T54" s="146"/>
    </row>
    <row r="55" spans="1:20">
      <c r="M55" s="39"/>
      <c r="N55" s="39"/>
      <c r="O55" s="39"/>
      <c r="P55" s="39"/>
      <c r="Q55" s="39"/>
      <c r="R55" s="39"/>
      <c r="S55" s="39"/>
      <c r="T55" s="39"/>
    </row>
    <row r="56" spans="1:20" ht="7.5" customHeight="1">
      <c r="M56" s="39"/>
      <c r="N56" s="39"/>
      <c r="O56" s="39"/>
      <c r="P56" s="39"/>
      <c r="Q56" s="39"/>
      <c r="R56" s="39"/>
      <c r="S56" s="39"/>
      <c r="T56" s="39"/>
    </row>
    <row r="57" spans="1:20" ht="7.5" customHeight="1">
      <c r="M57" s="39"/>
      <c r="N57" s="39"/>
      <c r="O57" s="39"/>
      <c r="P57" s="39"/>
      <c r="Q57" s="39"/>
      <c r="R57" s="39"/>
      <c r="S57" s="39"/>
      <c r="T57" s="39"/>
    </row>
    <row r="58" spans="1:20" ht="9" customHeight="1">
      <c r="M58" s="39"/>
      <c r="N58" s="39"/>
      <c r="O58" s="39"/>
      <c r="P58" s="39"/>
      <c r="Q58" s="39"/>
      <c r="R58" s="39"/>
      <c r="S58" s="39"/>
      <c r="T58" s="39"/>
    </row>
    <row r="59" spans="1:20" ht="7.5" customHeight="1">
      <c r="M59" s="280" t="s">
        <v>401</v>
      </c>
      <c r="N59" s="280"/>
      <c r="O59" s="280"/>
      <c r="P59" s="280"/>
      <c r="Q59" s="280"/>
      <c r="R59" s="280"/>
      <c r="S59" s="280"/>
      <c r="T59" s="280"/>
    </row>
    <row r="60" spans="1:20" ht="15">
      <c r="A60" s="43"/>
      <c r="B60" s="379">
        <f ca="1">TODAY()</f>
        <v>44937</v>
      </c>
      <c r="C60" s="379"/>
      <c r="D60" s="379"/>
      <c r="E60" s="379"/>
      <c r="F60" s="201"/>
      <c r="G60" s="201"/>
      <c r="M60" s="278" t="s">
        <v>333</v>
      </c>
      <c r="N60" s="278"/>
      <c r="O60" s="278"/>
      <c r="P60" s="278"/>
      <c r="Q60" s="278"/>
      <c r="R60" s="278"/>
      <c r="S60" s="278"/>
      <c r="T60" s="278"/>
    </row>
    <row r="61" spans="1:20">
      <c r="B61" s="251" t="s">
        <v>180</v>
      </c>
      <c r="C61" s="251"/>
      <c r="D61" s="251"/>
      <c r="E61" s="251"/>
      <c r="F61" s="51"/>
      <c r="I61" s="66"/>
      <c r="M61" s="279"/>
      <c r="N61" s="279"/>
      <c r="O61" s="279"/>
      <c r="P61" s="279"/>
      <c r="Q61" s="279"/>
      <c r="R61" s="279"/>
      <c r="S61" s="279"/>
      <c r="T61" s="279"/>
    </row>
    <row r="62" spans="1:20" ht="48" customHeight="1">
      <c r="A62" s="276" t="s">
        <v>395</v>
      </c>
      <c r="B62" s="290"/>
      <c r="C62" s="290"/>
      <c r="D62" s="290"/>
      <c r="E62" s="290"/>
      <c r="F62" s="290"/>
      <c r="G62" s="290"/>
      <c r="H62" s="290"/>
      <c r="I62" s="290"/>
      <c r="J62" s="290"/>
      <c r="K62" s="290"/>
      <c r="L62" s="290"/>
      <c r="M62" s="290"/>
      <c r="N62" s="290"/>
      <c r="O62" s="290"/>
      <c r="P62" s="290"/>
      <c r="Q62" s="290"/>
      <c r="R62" s="290"/>
      <c r="S62" s="290"/>
      <c r="T62" s="290"/>
    </row>
    <row r="63" spans="1:20" ht="16.5" customHeight="1">
      <c r="A63" s="206"/>
      <c r="B63" s="206"/>
      <c r="C63" s="206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</row>
    <row r="88" spans="21:27" hidden="1"/>
    <row r="89" spans="21:27" hidden="1"/>
    <row r="90" spans="21:27" ht="23.25" hidden="1" customHeight="1">
      <c r="U90" s="38" t="s">
        <v>259</v>
      </c>
      <c r="V90" s="399" t="s">
        <v>260</v>
      </c>
      <c r="W90" s="399"/>
      <c r="X90" s="399"/>
      <c r="Y90" s="38">
        <v>0.81200000000000006</v>
      </c>
      <c r="Z90" s="38" t="s">
        <v>261</v>
      </c>
      <c r="AA90" s="39"/>
    </row>
    <row r="91" spans="21:27" ht="30" hidden="1" customHeight="1">
      <c r="U91" s="38" t="s">
        <v>262</v>
      </c>
      <c r="V91" s="399" t="s">
        <v>263</v>
      </c>
      <c r="W91" s="399"/>
      <c r="X91" s="399"/>
      <c r="Y91" s="38">
        <v>0.33800000000000002</v>
      </c>
      <c r="Z91" s="38" t="s">
        <v>261</v>
      </c>
      <c r="AA91" s="39"/>
    </row>
    <row r="92" spans="21:27" hidden="1">
      <c r="U92" s="39"/>
      <c r="V92" s="39"/>
      <c r="W92" s="39"/>
      <c r="X92" s="39"/>
      <c r="Y92" s="39"/>
      <c r="Z92" s="39"/>
      <c r="AA92" s="39"/>
    </row>
    <row r="93" spans="21:27" hidden="1"/>
    <row r="94" spans="21:27" hidden="1"/>
    <row r="95" spans="21:27" hidden="1"/>
    <row r="96" spans="21:27" hidden="1"/>
    <row r="97" spans="1:23" hidden="1"/>
    <row r="98" spans="1:23" hidden="1"/>
    <row r="99" spans="1:23" hidden="1">
      <c r="A99" s="39"/>
      <c r="B99" s="39"/>
      <c r="C99" s="39"/>
      <c r="D99" s="39"/>
      <c r="E99" s="39"/>
      <c r="F99" s="39"/>
      <c r="G99" s="39"/>
      <c r="H99" s="220" t="s">
        <v>118</v>
      </c>
      <c r="I99" s="220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</row>
    <row r="100" spans="1:23" ht="15" hidden="1">
      <c r="A100" s="39"/>
      <c r="B100" s="39"/>
      <c r="C100" s="39"/>
      <c r="D100" s="39"/>
      <c r="E100" s="39"/>
      <c r="F100" s="39"/>
      <c r="G100" s="39"/>
      <c r="H100" s="45" t="s">
        <v>119</v>
      </c>
      <c r="I100" s="45" t="s">
        <v>120</v>
      </c>
      <c r="J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 t="s">
        <v>202</v>
      </c>
      <c r="V100" s="39" t="s">
        <v>202</v>
      </c>
      <c r="W100" s="39" t="s">
        <v>203</v>
      </c>
    </row>
    <row r="101" spans="1:23" ht="16.5" hidden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8" t="s">
        <v>80</v>
      </c>
      <c r="V101" s="38" t="s">
        <v>373</v>
      </c>
      <c r="W101" s="38" t="s">
        <v>76</v>
      </c>
    </row>
    <row r="102" spans="1:23" hidden="1">
      <c r="A102" s="94">
        <v>1</v>
      </c>
      <c r="B102" s="95" t="s">
        <v>117</v>
      </c>
      <c r="D102" s="39"/>
      <c r="E102" s="132" t="s">
        <v>204</v>
      </c>
      <c r="F102" s="39"/>
      <c r="G102" s="39"/>
      <c r="H102" s="39" t="s">
        <v>121</v>
      </c>
      <c r="I102" s="39" t="s">
        <v>121</v>
      </c>
      <c r="J102" s="39"/>
      <c r="K102" s="39"/>
      <c r="L102" s="39"/>
      <c r="M102" s="39"/>
      <c r="N102" s="39"/>
      <c r="O102" s="39"/>
      <c r="P102" s="39"/>
      <c r="Q102" s="39"/>
      <c r="R102" s="39"/>
      <c r="S102" s="39">
        <v>100</v>
      </c>
      <c r="T102" s="39" t="s">
        <v>122</v>
      </c>
      <c r="U102" s="39">
        <v>0</v>
      </c>
      <c r="V102" s="39">
        <v>0</v>
      </c>
      <c r="W102" s="39">
        <v>0</v>
      </c>
    </row>
    <row r="103" spans="1:23" hidden="1">
      <c r="A103" s="94">
        <v>2</v>
      </c>
      <c r="B103" s="95" t="s">
        <v>144</v>
      </c>
      <c r="D103" s="39"/>
      <c r="E103" s="133">
        <v>860</v>
      </c>
      <c r="F103" s="39"/>
      <c r="G103" s="39"/>
      <c r="H103" s="53" t="s">
        <v>108</v>
      </c>
      <c r="I103" s="134">
        <v>1</v>
      </c>
      <c r="J103" s="39">
        <v>0</v>
      </c>
      <c r="K103" s="135" t="s">
        <v>107</v>
      </c>
      <c r="L103" s="39"/>
      <c r="M103" s="135" t="s">
        <v>106</v>
      </c>
      <c r="N103" s="39"/>
      <c r="O103" s="53" t="s">
        <v>50</v>
      </c>
      <c r="P103" s="39"/>
      <c r="Q103" s="39">
        <v>1</v>
      </c>
      <c r="R103" s="39"/>
      <c r="S103" s="120"/>
      <c r="T103" s="53"/>
      <c r="U103" s="54"/>
      <c r="V103" s="54"/>
      <c r="W103" s="54"/>
    </row>
    <row r="104" spans="1:23" hidden="1">
      <c r="A104" s="94">
        <v>3</v>
      </c>
      <c r="B104" s="95" t="s">
        <v>15</v>
      </c>
      <c r="D104" s="39"/>
      <c r="E104" s="39"/>
      <c r="F104" s="39"/>
      <c r="G104" s="39"/>
      <c r="H104" s="53" t="s">
        <v>105</v>
      </c>
      <c r="I104" s="134">
        <v>2</v>
      </c>
      <c r="J104" s="39"/>
      <c r="K104" s="135" t="s">
        <v>104</v>
      </c>
      <c r="L104" s="39"/>
      <c r="M104" s="135" t="s">
        <v>103</v>
      </c>
      <c r="N104" s="39"/>
      <c r="O104" s="53" t="s">
        <v>49</v>
      </c>
      <c r="P104" s="39"/>
      <c r="Q104" s="39">
        <v>2</v>
      </c>
      <c r="R104" s="39"/>
      <c r="S104" s="120"/>
      <c r="T104" s="53"/>
      <c r="U104" s="54"/>
      <c r="V104" s="54"/>
      <c r="W104" s="54"/>
    </row>
    <row r="105" spans="1:23" hidden="1">
      <c r="A105" s="94">
        <v>4</v>
      </c>
      <c r="B105" s="95" t="s">
        <v>145</v>
      </c>
      <c r="D105" s="39"/>
      <c r="E105" s="39"/>
      <c r="F105" s="39"/>
      <c r="G105" s="39"/>
      <c r="H105" s="53" t="s">
        <v>102</v>
      </c>
      <c r="I105" s="134">
        <v>3</v>
      </c>
      <c r="J105" s="39"/>
      <c r="K105" s="135" t="s">
        <v>101</v>
      </c>
      <c r="L105" s="39"/>
      <c r="M105" s="135" t="s">
        <v>100</v>
      </c>
      <c r="N105" s="39"/>
      <c r="O105" s="53" t="s">
        <v>82</v>
      </c>
      <c r="P105" s="39"/>
      <c r="Q105" s="39">
        <v>1</v>
      </c>
      <c r="R105" s="39"/>
      <c r="S105" s="120"/>
      <c r="T105" s="53"/>
      <c r="U105" s="54"/>
      <c r="V105" s="54"/>
      <c r="W105" s="54"/>
    </row>
    <row r="106" spans="1:23" hidden="1">
      <c r="A106" s="94">
        <v>5</v>
      </c>
      <c r="B106" s="95" t="s">
        <v>149</v>
      </c>
      <c r="D106" s="39"/>
      <c r="E106" s="39"/>
      <c r="F106" s="39"/>
      <c r="G106" s="39"/>
      <c r="H106" s="53" t="s">
        <v>99</v>
      </c>
      <c r="I106" s="134">
        <v>4</v>
      </c>
      <c r="J106" s="39"/>
      <c r="K106" s="135" t="s">
        <v>98</v>
      </c>
      <c r="L106" s="39"/>
      <c r="M106" s="135" t="s">
        <v>97</v>
      </c>
      <c r="N106" s="39"/>
      <c r="O106" s="53" t="s">
        <v>81</v>
      </c>
      <c r="P106" s="39"/>
      <c r="Q106" s="39">
        <v>2</v>
      </c>
      <c r="R106" s="39"/>
      <c r="S106" s="120"/>
      <c r="T106" s="53"/>
      <c r="U106" s="54"/>
      <c r="V106" s="54"/>
      <c r="W106" s="54"/>
    </row>
    <row r="107" spans="1:23" hidden="1">
      <c r="A107" s="94">
        <v>6</v>
      </c>
      <c r="B107" s="95" t="s">
        <v>150</v>
      </c>
      <c r="D107" s="39"/>
      <c r="E107" s="39"/>
      <c r="F107" s="39"/>
      <c r="G107" s="39"/>
      <c r="H107" s="53" t="s">
        <v>129</v>
      </c>
      <c r="I107" s="134">
        <v>5</v>
      </c>
      <c r="J107" s="39"/>
      <c r="K107" s="135" t="s">
        <v>199</v>
      </c>
      <c r="L107" s="39"/>
      <c r="M107" s="135" t="s">
        <v>96</v>
      </c>
      <c r="N107" s="39"/>
      <c r="O107" s="53" t="s">
        <v>79</v>
      </c>
      <c r="P107" s="39"/>
      <c r="Q107" s="39">
        <v>3</v>
      </c>
      <c r="R107" s="39"/>
      <c r="S107" s="120"/>
      <c r="T107" s="53"/>
      <c r="U107" s="54"/>
      <c r="V107" s="54"/>
      <c r="W107" s="54"/>
    </row>
    <row r="108" spans="1:23" hidden="1">
      <c r="A108" s="94">
        <v>7</v>
      </c>
      <c r="B108" s="95" t="s">
        <v>146</v>
      </c>
      <c r="D108" s="39"/>
      <c r="E108" s="39"/>
      <c r="F108" s="39"/>
      <c r="G108" s="39"/>
      <c r="H108" s="53" t="s">
        <v>130</v>
      </c>
      <c r="I108" s="134">
        <v>6</v>
      </c>
      <c r="J108" s="39"/>
      <c r="K108" s="135" t="s">
        <v>135</v>
      </c>
      <c r="L108" s="39"/>
      <c r="M108" s="135" t="s">
        <v>95</v>
      </c>
      <c r="N108" s="39"/>
      <c r="O108" s="53" t="s">
        <v>78</v>
      </c>
      <c r="P108" s="39"/>
      <c r="Q108" s="39">
        <v>1</v>
      </c>
      <c r="R108" s="39"/>
      <c r="S108" s="120"/>
      <c r="T108" s="53"/>
      <c r="U108" s="54"/>
      <c r="V108" s="54"/>
      <c r="W108" s="54"/>
    </row>
    <row r="109" spans="1:23" hidden="1">
      <c r="A109" s="39"/>
      <c r="B109" s="39"/>
      <c r="C109" s="39"/>
      <c r="D109" s="39"/>
      <c r="E109" s="39"/>
      <c r="F109" s="39"/>
      <c r="G109" s="39"/>
      <c r="H109" s="53" t="s">
        <v>131</v>
      </c>
      <c r="I109" s="134">
        <v>7</v>
      </c>
      <c r="J109" s="39"/>
      <c r="K109" s="135" t="s">
        <v>136</v>
      </c>
      <c r="L109" s="39"/>
      <c r="M109" s="135" t="s">
        <v>94</v>
      </c>
      <c r="N109" s="39"/>
      <c r="O109" s="53" t="s">
        <v>77</v>
      </c>
      <c r="P109" s="39"/>
      <c r="Q109" s="39">
        <v>2</v>
      </c>
      <c r="R109" s="39"/>
      <c r="S109" s="120"/>
      <c r="T109" s="53"/>
      <c r="U109" s="54"/>
      <c r="V109" s="54"/>
      <c r="W109" s="54"/>
    </row>
    <row r="110" spans="1:23" hidden="1">
      <c r="A110" s="39"/>
      <c r="B110" s="39"/>
      <c r="C110" s="39"/>
      <c r="D110" s="39"/>
      <c r="E110" s="39"/>
      <c r="F110" s="39"/>
      <c r="G110" s="39"/>
      <c r="H110" s="53" t="s">
        <v>132</v>
      </c>
      <c r="I110" s="134">
        <v>8</v>
      </c>
      <c r="J110" s="39"/>
      <c r="K110" s="135" t="s">
        <v>137</v>
      </c>
      <c r="L110" s="39"/>
      <c r="M110" s="135" t="s">
        <v>93</v>
      </c>
      <c r="N110" s="39"/>
      <c r="O110" s="53" t="s">
        <v>75</v>
      </c>
      <c r="P110" s="39"/>
      <c r="Q110" s="39">
        <v>3</v>
      </c>
      <c r="R110" s="39"/>
      <c r="S110" s="120"/>
      <c r="T110" s="53"/>
      <c r="U110" s="54"/>
      <c r="V110" s="54"/>
      <c r="W110" s="54"/>
    </row>
    <row r="111" spans="1:23" hidden="1">
      <c r="A111" s="39"/>
      <c r="B111" s="39"/>
      <c r="C111" s="39"/>
      <c r="D111" s="39"/>
      <c r="E111" s="39"/>
      <c r="F111" s="39"/>
      <c r="G111" s="39"/>
      <c r="H111" s="53" t="s">
        <v>92</v>
      </c>
      <c r="I111" s="134">
        <v>9</v>
      </c>
      <c r="J111" s="39"/>
      <c r="K111" s="135" t="s">
        <v>138</v>
      </c>
      <c r="L111" s="39"/>
      <c r="M111" s="135" t="s">
        <v>91</v>
      </c>
      <c r="N111" s="39"/>
      <c r="O111" s="53" t="s">
        <v>74</v>
      </c>
      <c r="P111" s="39"/>
      <c r="Q111" s="39">
        <v>4</v>
      </c>
      <c r="R111" s="39"/>
      <c r="S111" s="120"/>
      <c r="T111" s="53"/>
      <c r="U111" s="54"/>
      <c r="V111" s="54"/>
      <c r="W111" s="54"/>
    </row>
    <row r="112" spans="1:23" hidden="1">
      <c r="A112" s="39"/>
      <c r="B112" s="39"/>
      <c r="C112" s="39"/>
      <c r="D112" s="39"/>
      <c r="E112" s="39"/>
      <c r="F112" s="39"/>
      <c r="G112" s="39"/>
      <c r="H112" s="53" t="s">
        <v>254</v>
      </c>
      <c r="I112" s="134">
        <v>10</v>
      </c>
      <c r="J112" s="39"/>
      <c r="K112" s="135" t="s">
        <v>253</v>
      </c>
      <c r="L112" s="39"/>
      <c r="M112" s="135" t="s">
        <v>90</v>
      </c>
      <c r="N112" s="39"/>
      <c r="O112" s="53"/>
      <c r="P112" s="39"/>
      <c r="Q112" s="39"/>
      <c r="R112" s="39"/>
      <c r="S112" s="120"/>
      <c r="T112" s="53"/>
      <c r="U112" s="54"/>
      <c r="V112" s="54"/>
      <c r="W112" s="54"/>
    </row>
    <row r="113" spans="1:23" hidden="1">
      <c r="A113" s="39"/>
      <c r="B113" s="39"/>
      <c r="C113" s="39"/>
      <c r="D113" s="39"/>
      <c r="E113" s="39"/>
      <c r="F113" s="39"/>
      <c r="G113" s="39"/>
      <c r="H113" s="53" t="s">
        <v>133</v>
      </c>
      <c r="I113" s="134">
        <v>11</v>
      </c>
      <c r="J113" s="39"/>
      <c r="K113" s="135" t="s">
        <v>256</v>
      </c>
      <c r="L113" s="39"/>
      <c r="M113" s="135" t="s">
        <v>89</v>
      </c>
      <c r="N113" s="39"/>
      <c r="O113" s="53" t="s">
        <v>140</v>
      </c>
      <c r="P113" s="39"/>
      <c r="Q113" s="39">
        <v>4</v>
      </c>
      <c r="R113" s="39"/>
      <c r="S113" s="120"/>
      <c r="T113" s="53"/>
      <c r="U113" s="54"/>
      <c r="V113" s="54"/>
      <c r="W113" s="54"/>
    </row>
    <row r="114" spans="1:23" hidden="1">
      <c r="A114" s="39"/>
      <c r="B114" s="39"/>
      <c r="C114" s="39"/>
      <c r="D114" s="39"/>
      <c r="E114" s="39"/>
      <c r="F114" s="39"/>
      <c r="G114" s="39"/>
      <c r="H114" s="53" t="s">
        <v>134</v>
      </c>
      <c r="I114" s="134">
        <v>12</v>
      </c>
      <c r="J114" s="39"/>
      <c r="K114" s="135" t="s">
        <v>257</v>
      </c>
      <c r="L114" s="39"/>
      <c r="M114" s="135" t="s">
        <v>87</v>
      </c>
      <c r="N114" s="39"/>
      <c r="O114" s="53" t="s">
        <v>73</v>
      </c>
      <c r="P114" s="39"/>
      <c r="Q114" s="39">
        <v>5</v>
      </c>
      <c r="R114" s="39"/>
      <c r="S114" s="120"/>
      <c r="T114" s="53"/>
      <c r="U114" s="54"/>
      <c r="V114" s="54"/>
      <c r="W114" s="54"/>
    </row>
    <row r="115" spans="1:23" hidden="1">
      <c r="A115" s="39"/>
      <c r="B115" s="39"/>
      <c r="C115" s="39"/>
      <c r="D115" s="39"/>
      <c r="E115" s="39"/>
      <c r="F115" s="39"/>
      <c r="G115" s="39"/>
      <c r="H115" s="53" t="s">
        <v>88</v>
      </c>
      <c r="I115" s="134">
        <v>13</v>
      </c>
      <c r="J115" s="39"/>
      <c r="K115" s="135" t="s">
        <v>258</v>
      </c>
      <c r="L115" s="39"/>
      <c r="M115" s="135" t="s">
        <v>85</v>
      </c>
      <c r="N115" s="39"/>
      <c r="O115" s="53" t="s">
        <v>72</v>
      </c>
      <c r="P115" s="39"/>
      <c r="Q115" s="39">
        <v>6</v>
      </c>
      <c r="R115" s="39"/>
      <c r="S115" s="120"/>
      <c r="T115" s="53"/>
      <c r="U115" s="54"/>
      <c r="V115" s="54"/>
      <c r="W115" s="54"/>
    </row>
    <row r="116" spans="1:23" hidden="1">
      <c r="A116" s="39"/>
      <c r="B116" s="39"/>
      <c r="C116" s="39"/>
      <c r="D116" s="39"/>
      <c r="E116" s="39"/>
      <c r="F116" s="39"/>
      <c r="G116" s="39"/>
      <c r="H116" s="53"/>
      <c r="I116" s="134">
        <v>14</v>
      </c>
      <c r="J116" s="39"/>
      <c r="K116" s="135" t="s">
        <v>285</v>
      </c>
      <c r="L116" s="39"/>
      <c r="M116" s="135" t="s">
        <v>83</v>
      </c>
      <c r="N116" s="39"/>
      <c r="O116" s="53"/>
      <c r="P116" s="39"/>
      <c r="Q116" s="39"/>
      <c r="R116" s="39"/>
      <c r="S116" s="120"/>
      <c r="T116" s="53"/>
      <c r="U116" s="54"/>
      <c r="V116" s="54"/>
      <c r="W116" s="54"/>
    </row>
    <row r="117" spans="1:23" ht="15" hidden="1">
      <c r="A117" s="39"/>
      <c r="B117" s="45"/>
      <c r="C117" s="39"/>
      <c r="D117" s="45"/>
      <c r="E117" s="39"/>
      <c r="F117" s="39"/>
      <c r="G117" s="39"/>
      <c r="H117" s="53"/>
      <c r="I117" s="134">
        <v>15</v>
      </c>
      <c r="J117" s="39"/>
      <c r="K117" s="135" t="s">
        <v>286</v>
      </c>
      <c r="L117" s="39"/>
      <c r="M117" s="135" t="s">
        <v>255</v>
      </c>
      <c r="N117" s="39"/>
      <c r="O117" s="53"/>
      <c r="P117" s="39"/>
      <c r="Q117" s="39"/>
      <c r="R117" s="39"/>
      <c r="S117" s="120"/>
      <c r="T117" s="53"/>
      <c r="U117" s="54"/>
      <c r="V117" s="54"/>
      <c r="W117" s="54"/>
    </row>
    <row r="118" spans="1:23" hidden="1">
      <c r="A118" s="39"/>
      <c r="B118" s="39"/>
      <c r="C118" s="39"/>
      <c r="D118" s="39"/>
      <c r="E118" s="39"/>
      <c r="F118" s="39"/>
      <c r="G118" s="39"/>
      <c r="H118" s="53" t="s">
        <v>86</v>
      </c>
      <c r="I118" s="134">
        <v>16</v>
      </c>
      <c r="J118" s="39"/>
      <c r="K118" s="135" t="s">
        <v>281</v>
      </c>
      <c r="L118" s="39"/>
      <c r="M118" s="135" t="s">
        <v>283</v>
      </c>
      <c r="N118" s="39"/>
      <c r="O118" s="53" t="s">
        <v>139</v>
      </c>
      <c r="P118" s="39"/>
      <c r="Q118" s="39">
        <v>7</v>
      </c>
      <c r="R118" s="39"/>
      <c r="S118" s="120"/>
      <c r="T118" s="53"/>
      <c r="U118" s="54"/>
      <c r="V118" s="54"/>
      <c r="W118" s="54"/>
    </row>
    <row r="119" spans="1:23" hidden="1">
      <c r="A119" s="39"/>
      <c r="B119" s="39"/>
      <c r="C119" s="39"/>
      <c r="D119" s="39"/>
      <c r="E119" s="39"/>
      <c r="F119" s="39"/>
      <c r="G119" s="39"/>
      <c r="H119" s="53" t="s">
        <v>84</v>
      </c>
      <c r="I119" s="134">
        <v>17</v>
      </c>
      <c r="J119" s="39"/>
      <c r="K119" s="135" t="s">
        <v>282</v>
      </c>
      <c r="L119" s="39"/>
      <c r="M119" s="135" t="s">
        <v>284</v>
      </c>
      <c r="N119" s="39"/>
      <c r="O119" s="53" t="s">
        <v>68</v>
      </c>
      <c r="P119" s="39"/>
      <c r="Q119" s="39">
        <v>8</v>
      </c>
      <c r="R119" s="39"/>
      <c r="S119" s="120"/>
      <c r="T119" s="53"/>
      <c r="U119" s="54"/>
      <c r="V119" s="54"/>
      <c r="W119" s="54"/>
    </row>
    <row r="120" spans="1:23" hidden="1">
      <c r="A120" s="39"/>
      <c r="B120" s="39"/>
      <c r="C120" s="39"/>
      <c r="D120" s="39"/>
      <c r="E120" s="39"/>
      <c r="F120" s="39"/>
      <c r="G120" s="39"/>
      <c r="H120" s="43"/>
      <c r="I120" s="46"/>
      <c r="J120" s="39"/>
      <c r="K120" s="47"/>
      <c r="L120" s="39"/>
      <c r="M120" s="47"/>
      <c r="N120" s="39"/>
      <c r="O120" s="53" t="s">
        <v>65</v>
      </c>
      <c r="P120" s="39"/>
      <c r="Q120" s="39">
        <v>9</v>
      </c>
      <c r="R120" s="39"/>
      <c r="S120" s="120"/>
      <c r="T120" s="53"/>
      <c r="U120" s="54"/>
      <c r="V120" s="54"/>
      <c r="W120" s="54"/>
    </row>
    <row r="121" spans="1:23" ht="15" hidden="1">
      <c r="A121" s="39"/>
      <c r="B121" s="39"/>
      <c r="C121" s="39"/>
      <c r="D121" s="39"/>
      <c r="E121" s="39"/>
      <c r="F121" s="39"/>
      <c r="G121" s="39"/>
      <c r="H121" s="45" t="s">
        <v>44</v>
      </c>
      <c r="I121" s="39">
        <v>100</v>
      </c>
      <c r="J121" s="137" t="s">
        <v>45</v>
      </c>
      <c r="K121" s="47"/>
      <c r="L121" s="39"/>
      <c r="M121" s="47"/>
      <c r="N121" s="39"/>
      <c r="O121" s="53" t="s">
        <v>62</v>
      </c>
      <c r="P121" s="39"/>
      <c r="Q121" s="39">
        <v>10</v>
      </c>
      <c r="R121" s="39"/>
      <c r="S121" s="120"/>
      <c r="T121" s="53"/>
      <c r="U121" s="54"/>
      <c r="V121" s="54"/>
      <c r="W121" s="54"/>
    </row>
    <row r="122" spans="1:23" hidden="1">
      <c r="A122" s="39"/>
      <c r="B122" s="39" t="str">
        <f t="shared" ref="B122:B133" si="0">IF($B$220="1",K104,"")</f>
        <v/>
      </c>
      <c r="C122" s="39"/>
      <c r="D122" s="39" t="str">
        <f t="shared" ref="D122:D133" si="1">IF($D$220="1",K104,"")</f>
        <v/>
      </c>
      <c r="E122" s="39"/>
      <c r="F122" s="39"/>
      <c r="G122" s="39" t="s">
        <v>200</v>
      </c>
      <c r="H122" s="39" t="str">
        <f>IF(I45=H102,J103,IF(I45=K103,I103,IF(I45=K104,I104,IF(I45=K105,I105,IF(I45=K106,I106,IF(I45=K107,I107,IF(I45=K108,I108,IF(I45=K109,I109,IF(I45=K110,I110,IF(I45=K111,I111,IF(I45=K112,I112,IF(I45=K113,I113,IF(I45=K114,I114,IF(I45=K115,I115,IF(I45=K116,I116,IF(I45=K117,I117,IF(I45=K118,I118,IF(I45=K119,I119,""))))))))))))))))))</f>
        <v/>
      </c>
      <c r="I122" s="39"/>
      <c r="J122" s="138" t="str">
        <f>IF(O45=H102,J103,IF(O45=K103,I103,IF(O45=K104,I104,IF(O45=K105,I105,IF(O45=K106,I106,IF(O45=K107,I107,IF(O45=K108,I108,IF(O45=K109,I109,IF(O45=K110,I110,IF(O45=K111,I111,IF(O45=K112,I112,IF(O45=K113,I113,IF(O45=K114,I114,IF(O45=K115,I115,IF(O45=K116,I116,IF(O45=K117,I117,IF(O45=K118,I118,IF(O45=K119,I119,""))))))))))))))))))</f>
        <v/>
      </c>
      <c r="K122" s="39"/>
      <c r="L122" s="39"/>
      <c r="M122" s="39"/>
      <c r="N122" s="39"/>
      <c r="O122" s="53" t="s">
        <v>61</v>
      </c>
      <c r="P122" s="39"/>
      <c r="Q122" s="39">
        <v>11</v>
      </c>
      <c r="R122" s="39"/>
      <c r="S122" s="120"/>
      <c r="T122" s="53"/>
      <c r="U122" s="54"/>
      <c r="V122" s="54"/>
      <c r="W122" s="54"/>
    </row>
    <row r="123" spans="1:23" hidden="1">
      <c r="A123" s="39"/>
      <c r="B123" s="39" t="str">
        <f t="shared" si="0"/>
        <v/>
      </c>
      <c r="C123" s="39"/>
      <c r="D123" s="39" t="str">
        <f t="shared" si="1"/>
        <v/>
      </c>
      <c r="E123" s="39"/>
      <c r="F123" s="39" t="s">
        <v>201</v>
      </c>
      <c r="H123" s="39" t="str">
        <f>IF(I46=O103,(H122*I121)+Q103,IF(I46=O105,(H122*I121)+Q105,IF(I46=O104,(H122*I121)+Q104,IF(I46=O106,(H122*I121)+Q106,IF(I46=O107,(H122*I121)+Q107,IF(I46=O108,(H122*I121)+Q108,IF(I46=O109,(H122*I121)+Q109,IF(I46=O110,(H122*I121)+Q110,IF(I46=O111,(H122*I121)+Q111,IF(I46=O113,(H122*I121)+Q113,IF(I46=O114,(H122*I121)+Q114,IF(I46=O115,(H122*I121)+Q115,IF(I46=O118,(H122*I121)+Q118,IF(I46=O119,(H122*I121)+Q119,IF(I46=O120,(H122*I121)+Q120,IF(I46=O121,(H122*I121)+Q121,IF(I46=O122,(H122*I121)+Q122,IF(I46=O123,(H122*I121)+Q123,IF(I46=O124,(H122*I121)+Q124,IF(I46=O125,(H122*I121)+Q125,IF(I46=O126,(H122*I121)+Q126,IF(I46=O127,(H122*I121)+Q127,IF(I46=O128,(H122*I121)+Q128,IF(I46=O129,(H122*I121)+Q129,IF(I46=O130,(H122*I121)+Q130,IF(I46=O131,(H122*I121)+Q131,IF(I46=O132,(H122*I121)+Q132,"")))))))))))))))))))))))))))</f>
        <v/>
      </c>
      <c r="I123" s="39"/>
      <c r="J123" s="138" t="str">
        <f>IF(O46=O103,(J122*I121)+Q103,IF(O46=O105,(J122*I121)+Q105,IF(O46=O104,(J122*I121)+Q104,IF(O46=O106,(J122*I121)+Q106,IF(O46=O107,(J122*I121)+Q107,IF(O46=O108,(J122*I121)+Q108,IF(O46=O109,(J122*I121)+Q109,IF(O46=O110,(J122*I121)+Q110,IF(O46=O111,(J122*I121)+Q111,IF(O46=O113,(J122*I121)+Q113,IF(O46=O114,(J122*I121)+Q114,IF(O46=O115,(J122*I121)+Q115,IF(O46=O118,(J122*I121)+Q118,IF(O46=O119,(J122*I121)+Q119,IF(O46=O120,(J122*I121)+Q121,IF(O46=O121,(J122*I121)+Q120,IF(O46=O122,(J122*I121)+Q122,IF(O46=O123,(J122*I121)+Q123,IF(O46=O124,(J122*I121)+Q124,IF(O46=O125,(J122*I121)+Q125,IF(O46=O126,(J122*I121)+Q126,IF(O46=O127,(J122*I121)+Q127,IF(O46=O128,(J122*I121)+Q128,IF(O46=O129,(J122*I121)+Q129,IF(O46=O130,(J122*I121)+Q130,IF(O46=O131,(J122*I121)+Q131,IF(O46=O132,(J122*I121)+Q132,"")))))))))))))))))))))))))))</f>
        <v/>
      </c>
      <c r="K123" s="39"/>
      <c r="L123" s="39"/>
      <c r="M123" s="39"/>
      <c r="N123" s="39"/>
      <c r="O123" s="53" t="s">
        <v>60</v>
      </c>
      <c r="P123" s="39"/>
      <c r="Q123" s="39">
        <v>12</v>
      </c>
      <c r="R123" s="39"/>
      <c r="S123" s="120"/>
      <c r="T123" s="53"/>
      <c r="U123" s="54"/>
      <c r="V123" s="54"/>
      <c r="W123" s="54"/>
    </row>
    <row r="124" spans="1:23" hidden="1">
      <c r="A124" s="39"/>
      <c r="B124" s="39" t="str">
        <f t="shared" si="0"/>
        <v/>
      </c>
      <c r="C124" s="39"/>
      <c r="D124" s="39" t="str">
        <f t="shared" si="1"/>
        <v/>
      </c>
      <c r="E124" s="39"/>
      <c r="F124" s="39"/>
      <c r="G124" s="39"/>
      <c r="H124" s="39" t="str">
        <f>IF(H122=H102,J103,IF(H122=I103,O103,IF(H122=I104,O103,IF(H122=I105,O103,IF(H122=I106,O103,IF(H122=I107,O103,IF(H122=I108,O103,IF(H122=I109,O103,IF(H122=I110,O103,IF(H122=I111,O103,IF(H122=I112,O103,IF(H122=I113,O103,IF(H122=I114,O103,IF(H122=I115,O103,IF(H122=I118,O105,IF(H122=I119,O103,""))))))))))))))))</f>
        <v/>
      </c>
      <c r="I124" s="39"/>
      <c r="J124" s="138" t="str">
        <f>IF(J122=H102,J103,IF(J122=I103,O103,IF(J122=I104,O103,IF(J122=I105,O103,IF(J122=I106,O103,IF(J122=I107,O103,IF(J122=I108,O103,IF(J122=I109,O103,IF(J122=I110,O103,IF(J122=I111,O103,IF(J122=I112,O103,IF(J122=I113,O103,IF(J122=I114,O103,IF(J122=I115,O103,IF(J122=I118,O105,IF(J122=I119,O103,""))))))))))))))))</f>
        <v/>
      </c>
      <c r="K124" s="39"/>
      <c r="L124" s="39"/>
      <c r="M124" s="39"/>
      <c r="N124" s="39"/>
      <c r="O124" s="53" t="s">
        <v>59</v>
      </c>
      <c r="P124" s="39"/>
      <c r="Q124" s="39">
        <v>13</v>
      </c>
      <c r="R124" s="39"/>
      <c r="S124" s="120"/>
      <c r="T124" s="53"/>
      <c r="U124" s="54"/>
      <c r="V124" s="54"/>
      <c r="W124" s="54"/>
    </row>
    <row r="125" spans="1:23" hidden="1">
      <c r="A125" s="39"/>
      <c r="B125" s="39" t="str">
        <f t="shared" si="0"/>
        <v/>
      </c>
      <c r="C125" s="39"/>
      <c r="D125" s="39" t="str">
        <f t="shared" si="1"/>
        <v/>
      </c>
      <c r="E125" s="39"/>
      <c r="F125" s="39"/>
      <c r="G125" s="39"/>
      <c r="H125" s="39" t="str">
        <f>IF(H122=1,O104,IF(H122=2," ",IF(H122=3,O104,IF(H122&lt;10," ",IF(H122&lt;14,O104,IF(H122=16,O106,IF(H122=I119,O104,"")))))))</f>
        <v/>
      </c>
      <c r="I125" s="39"/>
      <c r="J125" s="138" t="str">
        <f>IF($J$122=1,O104,IF($J$122=2," ",IF($J$122=3,O104,IF($J$122&lt;10," ",IF($J$122&lt;14,O104,IF($J$122=16,O106,IF(J122=I119,O104,"")))))))</f>
        <v/>
      </c>
      <c r="K125" s="39"/>
      <c r="L125" s="39"/>
      <c r="M125" s="39"/>
      <c r="N125" s="39"/>
      <c r="O125" s="53" t="s">
        <v>58</v>
      </c>
      <c r="P125" s="39"/>
      <c r="Q125" s="39">
        <v>14</v>
      </c>
      <c r="R125" s="39"/>
      <c r="S125" s="120"/>
      <c r="T125" s="53"/>
      <c r="U125" s="54"/>
      <c r="V125" s="54"/>
      <c r="W125" s="54"/>
    </row>
    <row r="126" spans="1:23" hidden="1">
      <c r="A126" s="39"/>
      <c r="B126" s="39" t="str">
        <f t="shared" si="0"/>
        <v/>
      </c>
      <c r="C126" s="39"/>
      <c r="D126" s="39" t="str">
        <f t="shared" si="1"/>
        <v/>
      </c>
      <c r="E126" s="39"/>
      <c r="F126" s="39"/>
      <c r="G126" s="39"/>
      <c r="H126" s="39" t="str">
        <f>IF($H$122=16,O107,"")</f>
        <v/>
      </c>
      <c r="I126" s="39"/>
      <c r="J126" s="138" t="str">
        <f>IF($J$122=16,O107,"")</f>
        <v/>
      </c>
      <c r="K126" s="39"/>
      <c r="L126" s="39"/>
      <c r="M126" s="39"/>
      <c r="N126" s="39"/>
      <c r="O126" s="53" t="s">
        <v>57</v>
      </c>
      <c r="P126" s="39"/>
      <c r="Q126" s="39">
        <v>15</v>
      </c>
      <c r="R126" s="39"/>
      <c r="S126" s="120"/>
      <c r="T126" s="53"/>
      <c r="U126" s="54"/>
      <c r="V126" s="54"/>
      <c r="W126" s="54"/>
    </row>
    <row r="127" spans="1:23" hidden="1">
      <c r="A127" s="39"/>
      <c r="B127" s="39" t="str">
        <f t="shared" si="0"/>
        <v/>
      </c>
      <c r="C127" s="39"/>
      <c r="D127" s="39" t="str">
        <f t="shared" si="1"/>
        <v/>
      </c>
      <c r="E127" s="39"/>
      <c r="F127" s="39"/>
      <c r="G127" s="39"/>
      <c r="H127" s="39" t="str">
        <f>IF($H$122=14,O108,IF(H122=15,O108,""))</f>
        <v/>
      </c>
      <c r="I127" s="39"/>
      <c r="J127" s="138" t="str">
        <f>IF($J$122=14,O108,IF(J122=15,O108,""))</f>
        <v/>
      </c>
      <c r="K127" s="39"/>
      <c r="L127" s="39"/>
      <c r="M127" s="39"/>
      <c r="N127" s="39"/>
      <c r="O127" s="53" t="s">
        <v>56</v>
      </c>
      <c r="P127" s="39"/>
      <c r="Q127" s="39">
        <v>16</v>
      </c>
      <c r="R127" s="39"/>
      <c r="S127" s="120"/>
      <c r="T127" s="53"/>
      <c r="U127" s="54"/>
      <c r="V127" s="54"/>
      <c r="W127" s="54"/>
    </row>
    <row r="128" spans="1:23" hidden="1">
      <c r="A128" s="39"/>
      <c r="B128" s="39" t="str">
        <f t="shared" si="0"/>
        <v/>
      </c>
      <c r="C128" s="39"/>
      <c r="D128" s="39" t="str">
        <f t="shared" si="1"/>
        <v/>
      </c>
      <c r="E128" s="39"/>
      <c r="F128" s="39"/>
      <c r="G128" s="39"/>
      <c r="H128" s="39" t="str">
        <f>IF($H$122=14,O109,IF(H122=15,O109,""))</f>
        <v/>
      </c>
      <c r="I128" s="39"/>
      <c r="J128" s="138" t="str">
        <f>IF($J$122=14,O109,IF(J122=15,O109,""))</f>
        <v/>
      </c>
      <c r="K128" s="39"/>
      <c r="L128" s="39"/>
      <c r="M128" s="39"/>
      <c r="N128" s="39"/>
      <c r="O128" s="53" t="s">
        <v>55</v>
      </c>
      <c r="P128" s="39"/>
      <c r="Q128" s="39">
        <v>5</v>
      </c>
      <c r="R128" s="39"/>
      <c r="S128" s="120"/>
      <c r="T128" s="53"/>
      <c r="U128" s="54"/>
      <c r="V128" s="54"/>
      <c r="W128" s="54"/>
    </row>
    <row r="129" spans="1:23" hidden="1">
      <c r="A129" s="39"/>
      <c r="B129" s="39" t="str">
        <f t="shared" si="0"/>
        <v/>
      </c>
      <c r="C129" s="39"/>
      <c r="D129" s="39" t="str">
        <f t="shared" si="1"/>
        <v/>
      </c>
      <c r="E129" s="39"/>
      <c r="F129" s="39"/>
      <c r="G129" s="39"/>
      <c r="H129" s="39" t="str">
        <f>IF($H$122=14,O110,IF(H122=15,O110,""))</f>
        <v/>
      </c>
      <c r="I129" s="39"/>
      <c r="J129" s="138" t="str">
        <f>IF($J$122=14,O110,IF(J122=15,O110,""))</f>
        <v/>
      </c>
      <c r="K129" s="39"/>
      <c r="L129" s="39"/>
      <c r="M129" s="39"/>
      <c r="N129" s="39"/>
      <c r="O129" s="53" t="s">
        <v>54</v>
      </c>
      <c r="P129" s="39"/>
      <c r="Q129" s="39">
        <v>18</v>
      </c>
      <c r="R129" s="39"/>
      <c r="S129" s="120"/>
      <c r="T129" s="53"/>
      <c r="U129" s="54"/>
      <c r="V129" s="54"/>
      <c r="W129" s="54"/>
    </row>
    <row r="130" spans="1:23" hidden="1">
      <c r="A130" s="39"/>
      <c r="B130" s="39" t="str">
        <f t="shared" si="0"/>
        <v/>
      </c>
      <c r="C130" s="39"/>
      <c r="D130" s="39" t="str">
        <f t="shared" si="1"/>
        <v/>
      </c>
      <c r="E130" s="39"/>
      <c r="F130" s="39"/>
      <c r="G130" s="39"/>
      <c r="H130" s="39" t="str">
        <f>IF($H$122=14,O111,IF(H122=15,O111,""))</f>
        <v/>
      </c>
      <c r="I130" s="39"/>
      <c r="J130" s="138" t="str">
        <f>IF($J$122=14,O111,IF(J122=15,O111,""))</f>
        <v/>
      </c>
      <c r="K130" s="39"/>
      <c r="L130" s="39"/>
      <c r="M130" s="39"/>
      <c r="N130" s="39"/>
      <c r="O130" s="53" t="s">
        <v>53</v>
      </c>
      <c r="P130" s="39"/>
      <c r="Q130" s="39">
        <v>19</v>
      </c>
      <c r="R130" s="39"/>
      <c r="S130" s="120"/>
      <c r="T130" s="53"/>
      <c r="U130" s="54"/>
      <c r="V130" s="54"/>
      <c r="W130" s="54"/>
    </row>
    <row r="131" spans="1:23" hidden="1">
      <c r="A131" s="39"/>
      <c r="B131" s="39" t="str">
        <f t="shared" si="0"/>
        <v/>
      </c>
      <c r="C131" s="39"/>
      <c r="D131" s="39" t="str">
        <f t="shared" si="1"/>
        <v/>
      </c>
      <c r="E131" s="39"/>
      <c r="F131" s="39"/>
      <c r="G131" s="39"/>
      <c r="H131" s="39" t="str">
        <f>IF($H$122=16,O113,IF($H$122=14,O128,IF($H$122=15,O128,"")))</f>
        <v/>
      </c>
      <c r="I131" s="39"/>
      <c r="J131" s="138" t="str">
        <f>IF($J$122=16,O113,IF($J$122=14,O128,IF($J$122=15,O128,"")))</f>
        <v/>
      </c>
      <c r="K131" s="39"/>
      <c r="L131" s="39"/>
      <c r="M131" s="39"/>
      <c r="N131" s="39"/>
      <c r="O131" s="53" t="s">
        <v>52</v>
      </c>
      <c r="P131" s="39"/>
      <c r="Q131" s="39">
        <v>20</v>
      </c>
      <c r="R131" s="39"/>
      <c r="S131" s="120"/>
      <c r="T131" s="53"/>
      <c r="U131" s="54"/>
      <c r="V131" s="54"/>
      <c r="W131" s="54"/>
    </row>
    <row r="132" spans="1:23" hidden="1">
      <c r="A132" s="39"/>
      <c r="B132" s="39" t="str">
        <f t="shared" si="0"/>
        <v/>
      </c>
      <c r="C132" s="39"/>
      <c r="D132" s="39" t="str">
        <f t="shared" si="1"/>
        <v/>
      </c>
      <c r="E132" s="39"/>
      <c r="F132" s="39"/>
      <c r="G132" s="39"/>
      <c r="H132" s="39" t="str">
        <f>IF($H$122=16,O114,"")</f>
        <v/>
      </c>
      <c r="I132" s="39"/>
      <c r="J132" s="138" t="str">
        <f>IF($J$122=16,O114,"")</f>
        <v/>
      </c>
      <c r="K132" s="39"/>
      <c r="L132" s="39"/>
      <c r="M132" s="39"/>
      <c r="N132" s="39"/>
      <c r="O132" s="139" t="s">
        <v>51</v>
      </c>
      <c r="P132" s="39"/>
      <c r="Q132" s="39">
        <v>21</v>
      </c>
      <c r="R132" s="39"/>
      <c r="S132" s="120"/>
      <c r="T132" s="53"/>
      <c r="U132" s="54"/>
      <c r="V132" s="54"/>
      <c r="W132" s="54"/>
    </row>
    <row r="133" spans="1:23" hidden="1">
      <c r="A133" s="39"/>
      <c r="B133" s="39" t="str">
        <f t="shared" si="0"/>
        <v/>
      </c>
      <c r="C133" s="39"/>
      <c r="D133" s="39" t="str">
        <f t="shared" si="1"/>
        <v/>
      </c>
      <c r="E133" s="39"/>
      <c r="F133" s="39"/>
      <c r="G133" s="39"/>
      <c r="H133" s="39" t="str">
        <f>IF($H$122=16,O115,"")</f>
        <v/>
      </c>
      <c r="I133" s="39"/>
      <c r="J133" s="138" t="str">
        <f>IF($J$122=16,O115,"")</f>
        <v/>
      </c>
      <c r="K133" s="39"/>
      <c r="L133" s="39"/>
      <c r="M133" s="39"/>
      <c r="N133" s="39"/>
      <c r="O133" s="43"/>
      <c r="P133" s="39"/>
      <c r="Q133" s="39"/>
      <c r="R133" s="39"/>
      <c r="S133" s="120"/>
      <c r="T133" s="53"/>
      <c r="U133" s="54"/>
      <c r="V133" s="54"/>
      <c r="W133" s="54"/>
    </row>
    <row r="134" spans="1:23" hidden="1">
      <c r="A134" s="39"/>
      <c r="B134" s="39" t="str">
        <f>IF($B$220="1",K117,"")</f>
        <v/>
      </c>
      <c r="C134" s="39"/>
      <c r="D134" s="39" t="str">
        <f>IF($D$220="1",K117,"")</f>
        <v/>
      </c>
      <c r="E134" s="39"/>
      <c r="F134" s="39"/>
      <c r="G134" s="39"/>
      <c r="H134" s="39" t="str">
        <f t="shared" ref="H134:H142" si="2">IF($H$122=16,O118,"")</f>
        <v/>
      </c>
      <c r="I134" s="39"/>
      <c r="J134" s="138" t="str">
        <f t="shared" ref="J134:J143" si="3">IF($J$122=16,O118,"")</f>
        <v/>
      </c>
      <c r="K134" s="39"/>
      <c r="L134" s="39"/>
      <c r="M134" s="39"/>
      <c r="N134" s="39"/>
      <c r="O134" s="43"/>
      <c r="P134" s="39"/>
      <c r="Q134" s="39"/>
      <c r="R134" s="39"/>
      <c r="S134" s="120"/>
      <c r="T134" s="53"/>
      <c r="U134" s="54"/>
      <c r="V134" s="54"/>
      <c r="W134" s="54"/>
    </row>
    <row r="135" spans="1:23" hidden="1">
      <c r="A135" s="39"/>
      <c r="B135" s="39"/>
      <c r="C135" s="39"/>
      <c r="D135" s="39"/>
      <c r="E135" s="39"/>
      <c r="F135" s="39"/>
      <c r="G135" s="39"/>
      <c r="H135" s="39" t="str">
        <f t="shared" si="2"/>
        <v/>
      </c>
      <c r="I135" s="39"/>
      <c r="J135" s="138" t="str">
        <f t="shared" si="3"/>
        <v/>
      </c>
      <c r="K135" s="39"/>
      <c r="L135" s="39"/>
      <c r="M135" s="39"/>
      <c r="N135" s="39"/>
      <c r="O135" s="39"/>
      <c r="P135" s="39"/>
      <c r="Q135" s="39"/>
      <c r="R135" s="39"/>
      <c r="S135" s="120"/>
      <c r="T135" s="53"/>
      <c r="U135" s="54"/>
      <c r="V135" s="54"/>
      <c r="W135" s="54"/>
    </row>
    <row r="136" spans="1:23" hidden="1">
      <c r="A136" s="39"/>
      <c r="B136" s="39"/>
      <c r="C136" s="39"/>
      <c r="D136" s="39"/>
      <c r="E136" s="39"/>
      <c r="F136" s="39"/>
      <c r="G136" s="39"/>
      <c r="H136" s="39" t="str">
        <f t="shared" si="2"/>
        <v/>
      </c>
      <c r="I136" s="39"/>
      <c r="J136" s="138" t="str">
        <f t="shared" si="3"/>
        <v/>
      </c>
      <c r="K136" s="39"/>
      <c r="L136" s="39"/>
      <c r="M136" s="39"/>
      <c r="N136" s="39"/>
      <c r="O136" s="39"/>
      <c r="P136" s="39"/>
      <c r="Q136" s="39"/>
      <c r="R136" s="39"/>
      <c r="S136" s="120"/>
      <c r="T136" s="53"/>
      <c r="U136" s="54"/>
      <c r="V136" s="54"/>
      <c r="W136" s="54"/>
    </row>
    <row r="137" spans="1:23" hidden="1">
      <c r="A137" s="39"/>
      <c r="B137" s="39"/>
      <c r="C137" s="39"/>
      <c r="D137" s="39"/>
      <c r="E137" s="39"/>
      <c r="F137" s="39"/>
      <c r="G137" s="39"/>
      <c r="H137" s="39" t="str">
        <f t="shared" si="2"/>
        <v/>
      </c>
      <c r="I137" s="39"/>
      <c r="J137" s="138" t="str">
        <f t="shared" si="3"/>
        <v/>
      </c>
      <c r="K137" s="39"/>
      <c r="L137" s="39"/>
      <c r="M137" s="39"/>
      <c r="N137" s="39"/>
      <c r="O137" s="39"/>
      <c r="P137" s="39"/>
      <c r="Q137" s="39"/>
      <c r="R137" s="39"/>
      <c r="S137" s="120"/>
      <c r="T137" s="53"/>
      <c r="U137" s="54"/>
      <c r="V137" s="54"/>
      <c r="W137" s="54"/>
    </row>
    <row r="138" spans="1:23" hidden="1">
      <c r="A138" s="39"/>
      <c r="B138" s="39"/>
      <c r="C138" s="39"/>
      <c r="D138" s="39"/>
      <c r="E138" s="39"/>
      <c r="F138" s="39"/>
      <c r="G138" s="39"/>
      <c r="H138" s="39" t="str">
        <f t="shared" si="2"/>
        <v/>
      </c>
      <c r="I138" s="39"/>
      <c r="J138" s="138" t="str">
        <f t="shared" si="3"/>
        <v/>
      </c>
      <c r="K138" s="39"/>
      <c r="L138" s="39"/>
      <c r="M138" s="39"/>
      <c r="N138" s="39"/>
      <c r="O138" s="39"/>
      <c r="P138" s="39"/>
      <c r="Q138" s="39"/>
      <c r="R138" s="39"/>
      <c r="S138" s="120"/>
      <c r="T138" s="53"/>
      <c r="U138" s="54"/>
      <c r="V138" s="54"/>
      <c r="W138" s="54"/>
    </row>
    <row r="139" spans="1:23" hidden="1">
      <c r="A139" s="39"/>
      <c r="B139" s="39"/>
      <c r="C139" s="39"/>
      <c r="D139" s="39"/>
      <c r="E139" s="39"/>
      <c r="F139" s="39"/>
      <c r="G139" s="39"/>
      <c r="H139" s="39" t="str">
        <f t="shared" si="2"/>
        <v/>
      </c>
      <c r="I139" s="39"/>
      <c r="J139" s="138" t="str">
        <f t="shared" si="3"/>
        <v/>
      </c>
      <c r="K139" s="39"/>
      <c r="L139" s="39"/>
      <c r="M139" s="39"/>
      <c r="N139" s="39"/>
      <c r="O139" s="39"/>
      <c r="P139" s="39"/>
      <c r="Q139" s="39"/>
      <c r="R139" s="39"/>
      <c r="S139" s="120"/>
      <c r="T139" s="53"/>
      <c r="U139" s="54"/>
      <c r="V139" s="54"/>
      <c r="W139" s="54"/>
    </row>
    <row r="140" spans="1:23" hidden="1">
      <c r="A140" s="39"/>
      <c r="B140" s="39"/>
      <c r="C140" s="39"/>
      <c r="D140" s="39"/>
      <c r="E140" s="39"/>
      <c r="F140" s="39"/>
      <c r="G140" s="39"/>
      <c r="H140" s="39" t="str">
        <f t="shared" si="2"/>
        <v/>
      </c>
      <c r="I140" s="39"/>
      <c r="J140" s="138" t="str">
        <f t="shared" si="3"/>
        <v/>
      </c>
      <c r="K140" s="39"/>
      <c r="L140" s="39"/>
      <c r="M140" s="39"/>
      <c r="N140" s="39"/>
      <c r="O140" s="39"/>
      <c r="P140" s="39"/>
      <c r="Q140" s="39"/>
      <c r="R140" s="39"/>
      <c r="S140" s="120"/>
      <c r="T140" s="53"/>
      <c r="U140" s="54"/>
      <c r="V140" s="54"/>
      <c r="W140" s="54"/>
    </row>
    <row r="141" spans="1:23" hidden="1">
      <c r="A141" s="39"/>
      <c r="B141" s="39"/>
      <c r="C141" s="39"/>
      <c r="D141" s="39"/>
      <c r="E141" s="39"/>
      <c r="F141" s="39"/>
      <c r="G141" s="39"/>
      <c r="H141" s="39" t="str">
        <f t="shared" si="2"/>
        <v/>
      </c>
      <c r="I141" s="39"/>
      <c r="J141" s="138" t="str">
        <f t="shared" si="3"/>
        <v/>
      </c>
      <c r="K141" s="39"/>
      <c r="L141" s="39"/>
      <c r="M141" s="39"/>
      <c r="N141" s="39"/>
      <c r="O141" s="39"/>
      <c r="P141" s="39"/>
      <c r="Q141" s="39"/>
      <c r="R141" s="39"/>
      <c r="S141" s="120"/>
      <c r="T141" s="53"/>
      <c r="U141" s="54"/>
      <c r="V141" s="54"/>
      <c r="W141" s="54"/>
    </row>
    <row r="142" spans="1:23" hidden="1">
      <c r="A142" s="39"/>
      <c r="B142" s="39"/>
      <c r="C142" s="39"/>
      <c r="D142" s="39"/>
      <c r="E142" s="39"/>
      <c r="F142" s="39"/>
      <c r="G142" s="39"/>
      <c r="H142" s="39" t="str">
        <f t="shared" si="2"/>
        <v/>
      </c>
      <c r="I142" s="39"/>
      <c r="J142" s="138" t="str">
        <f t="shared" si="3"/>
        <v/>
      </c>
      <c r="K142" s="39"/>
      <c r="L142" s="39"/>
      <c r="M142" s="39"/>
      <c r="N142" s="39"/>
      <c r="O142" s="39"/>
      <c r="P142" s="39"/>
      <c r="Q142" s="39"/>
      <c r="R142" s="39"/>
      <c r="S142" s="120"/>
      <c r="T142" s="53"/>
      <c r="U142" s="54"/>
      <c r="V142" s="54"/>
      <c r="W142" s="54"/>
    </row>
    <row r="143" spans="1:23" hidden="1">
      <c r="A143" s="39"/>
      <c r="B143" s="39"/>
      <c r="C143" s="39"/>
      <c r="D143" s="39"/>
      <c r="E143" s="39"/>
      <c r="F143" s="39"/>
      <c r="G143" s="39"/>
      <c r="H143" s="39" t="str">
        <f>IF($H$122=16,O127,"")</f>
        <v/>
      </c>
      <c r="I143" s="39"/>
      <c r="J143" s="138" t="str">
        <f t="shared" si="3"/>
        <v/>
      </c>
      <c r="K143" s="39"/>
      <c r="L143" s="39"/>
      <c r="M143" s="39"/>
      <c r="N143" s="39"/>
      <c r="O143" s="39"/>
      <c r="P143" s="39"/>
      <c r="Q143" s="39"/>
      <c r="R143" s="39"/>
      <c r="S143" s="120"/>
      <c r="T143" s="53"/>
      <c r="U143" s="54"/>
      <c r="V143" s="54"/>
      <c r="W143" s="54"/>
    </row>
    <row r="144" spans="1:23" hidden="1">
      <c r="A144" s="39"/>
      <c r="B144" s="39"/>
      <c r="C144" s="39"/>
      <c r="D144" s="39"/>
      <c r="E144" s="39"/>
      <c r="F144" s="39"/>
      <c r="G144" s="39"/>
      <c r="H144" s="39" t="str">
        <f>IF($H$122=16,O129,"")</f>
        <v/>
      </c>
      <c r="I144" s="39"/>
      <c r="J144" s="138" t="str">
        <f>IF($J$122=16,O129,"")</f>
        <v/>
      </c>
      <c r="K144" s="39"/>
      <c r="L144" s="39"/>
      <c r="M144" s="39"/>
      <c r="N144" s="39"/>
      <c r="O144" s="39"/>
      <c r="P144" s="39"/>
      <c r="Q144" s="39"/>
      <c r="R144" s="39"/>
      <c r="S144" s="120"/>
      <c r="T144" s="53"/>
      <c r="U144" s="54"/>
      <c r="V144" s="54"/>
      <c r="W144" s="54"/>
    </row>
    <row r="145" spans="1:23" hidden="1">
      <c r="A145" s="39"/>
      <c r="B145" s="39"/>
      <c r="C145" s="39"/>
      <c r="D145" s="39"/>
      <c r="E145" s="39"/>
      <c r="F145" s="39"/>
      <c r="G145" s="39"/>
      <c r="H145" s="39" t="str">
        <f>IF($H$122=16,O130,"")</f>
        <v/>
      </c>
      <c r="I145" s="39"/>
      <c r="J145" s="138" t="str">
        <f>IF($J$122=16,O130,"")</f>
        <v/>
      </c>
      <c r="K145" s="39"/>
      <c r="L145" s="39"/>
      <c r="M145" s="39"/>
      <c r="N145" s="39"/>
      <c r="O145" s="39"/>
      <c r="P145" s="39"/>
      <c r="Q145" s="39"/>
      <c r="R145" s="39"/>
      <c r="S145" s="120"/>
      <c r="T145" s="53"/>
      <c r="U145" s="54"/>
      <c r="V145" s="54"/>
      <c r="W145" s="54"/>
    </row>
    <row r="146" spans="1:23" hidden="1">
      <c r="A146" s="39"/>
      <c r="B146" s="39"/>
      <c r="C146" s="39"/>
      <c r="D146" s="39"/>
      <c r="E146" s="39"/>
      <c r="F146" s="39"/>
      <c r="G146" s="39"/>
      <c r="H146" s="39" t="str">
        <f>IF($H$122=16,O131,"")</f>
        <v/>
      </c>
      <c r="I146" s="39"/>
      <c r="J146" s="138" t="str">
        <f>IF($J$122=16,O131,"")</f>
        <v/>
      </c>
      <c r="K146" s="39"/>
      <c r="L146" s="39"/>
      <c r="M146" s="39"/>
      <c r="N146" s="39"/>
      <c r="O146" s="39"/>
      <c r="P146" s="39"/>
      <c r="Q146" s="39"/>
      <c r="R146" s="39"/>
      <c r="S146" s="120"/>
      <c r="T146" s="53"/>
      <c r="U146" s="54"/>
      <c r="V146" s="54"/>
      <c r="W146" s="54"/>
    </row>
    <row r="147" spans="1:23" hidden="1">
      <c r="A147" s="39"/>
      <c r="B147" s="66"/>
      <c r="C147" s="39"/>
      <c r="D147" s="39"/>
      <c r="E147" s="39"/>
      <c r="F147" s="39"/>
      <c r="G147" s="39"/>
      <c r="H147" s="39" t="str">
        <f>IF($H$122=16,O132,"")</f>
        <v/>
      </c>
      <c r="I147" s="39"/>
      <c r="J147" s="138" t="str">
        <f>IF($J$122=16,O132,"")</f>
        <v/>
      </c>
      <c r="K147" s="39"/>
      <c r="L147" s="39"/>
      <c r="M147" s="39"/>
      <c r="N147" s="39"/>
      <c r="O147" s="39"/>
      <c r="P147" s="39"/>
      <c r="Q147" s="39"/>
      <c r="R147" s="39"/>
      <c r="S147" s="120"/>
      <c r="T147" s="53"/>
      <c r="U147" s="54"/>
      <c r="V147" s="54"/>
      <c r="W147" s="54"/>
    </row>
    <row r="148" spans="1:23" hidden="1">
      <c r="A148" s="39"/>
      <c r="B148" s="66"/>
      <c r="C148" s="39"/>
      <c r="D148" s="39"/>
      <c r="E148" s="39"/>
      <c r="F148" s="39"/>
      <c r="G148" s="39"/>
      <c r="H148" s="39" t="str">
        <f>IF($H$122=16,O133,"")</f>
        <v/>
      </c>
      <c r="I148" s="39"/>
      <c r="J148" s="138" t="str">
        <f>IF($J$122=16,O133,"")</f>
        <v/>
      </c>
      <c r="K148" s="39"/>
      <c r="L148" s="39"/>
      <c r="M148" s="39"/>
      <c r="N148" s="39"/>
      <c r="O148" s="39"/>
      <c r="P148" s="39"/>
      <c r="Q148" s="39"/>
      <c r="R148" s="39"/>
      <c r="S148" s="120"/>
      <c r="T148" s="53"/>
      <c r="U148" s="54"/>
      <c r="V148" s="54"/>
      <c r="W148" s="54"/>
    </row>
    <row r="149" spans="1:23" hidden="1">
      <c r="A149" s="39"/>
      <c r="B149" s="66"/>
      <c r="C149" s="39"/>
      <c r="D149" s="39"/>
      <c r="E149" s="39"/>
      <c r="F149" s="39"/>
      <c r="G149" s="39"/>
      <c r="H149" s="39" t="str">
        <f>IF($H$130=16,O134,"")</f>
        <v/>
      </c>
      <c r="I149" s="39"/>
      <c r="J149" s="138" t="str">
        <f>IF($J$130=16,O134,"")</f>
        <v/>
      </c>
      <c r="K149" s="39"/>
      <c r="L149" s="39"/>
      <c r="M149" s="39"/>
      <c r="N149" s="39"/>
      <c r="O149" s="39"/>
      <c r="P149" s="39"/>
      <c r="Q149" s="39"/>
      <c r="R149" s="39"/>
      <c r="S149" s="120"/>
      <c r="T149" s="53"/>
      <c r="U149" s="54"/>
      <c r="V149" s="54"/>
      <c r="W149" s="54"/>
    </row>
    <row r="150" spans="1:23" hidden="1">
      <c r="A150" s="39"/>
      <c r="B150" s="66"/>
      <c r="C150" s="39"/>
      <c r="D150" s="39"/>
      <c r="E150" s="39"/>
      <c r="F150" s="39"/>
      <c r="G150" s="39"/>
      <c r="H150" s="39" t="str">
        <f>IF($H$130=16,O135,"")</f>
        <v/>
      </c>
      <c r="I150" s="39"/>
      <c r="J150" s="138" t="str">
        <f>IF($J$130=16,O135,"")</f>
        <v/>
      </c>
      <c r="K150" s="39"/>
      <c r="L150" s="39"/>
      <c r="M150" s="39"/>
      <c r="N150" s="39"/>
      <c r="O150" s="39"/>
      <c r="P150" s="39"/>
      <c r="Q150" s="39"/>
      <c r="R150" s="39"/>
      <c r="S150" s="120"/>
      <c r="T150" s="53"/>
      <c r="U150" s="54"/>
      <c r="V150" s="54"/>
      <c r="W150" s="54"/>
    </row>
    <row r="151" spans="1:23" hidden="1"/>
    <row r="152" spans="1:23" hidden="1"/>
    <row r="153" spans="1:23" hidden="1"/>
    <row r="154" spans="1:23" hidden="1"/>
    <row r="155" spans="1:23" hidden="1"/>
    <row r="156" spans="1:23" hidden="1"/>
    <row r="157" spans="1:23" hidden="1"/>
    <row r="158" spans="1:23" hidden="1"/>
    <row r="159" spans="1:23" hidden="1"/>
    <row r="160" spans="1:2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</sheetData>
  <sheetProtection algorithmName="SHA-512" hashValue="EOXj1kOjc09A2DupHgHDJHmVDMoZVwtxCJGrYp1GLFTqX/Rl22vu0ZOg8cHlozym+nINx9GRGthsvJyCP37k6g==" saltValue="0IBn4E577cnIIl8E7fe1rw==" spinCount="100000" sheet="1" formatRows="0"/>
  <mergeCells count="93">
    <mergeCell ref="A53:H53"/>
    <mergeCell ref="I53:K53"/>
    <mergeCell ref="L53:N53"/>
    <mergeCell ref="O53:Q53"/>
    <mergeCell ref="A48:H48"/>
    <mergeCell ref="I48:N48"/>
    <mergeCell ref="O48:T48"/>
    <mergeCell ref="A50:H51"/>
    <mergeCell ref="I50:N50"/>
    <mergeCell ref="O50:T50"/>
    <mergeCell ref="I51:K51"/>
    <mergeCell ref="L51:N51"/>
    <mergeCell ref="O51:Q51"/>
    <mergeCell ref="R51:T51"/>
    <mergeCell ref="R53:T53"/>
    <mergeCell ref="R52:T52"/>
    <mergeCell ref="P39:Q39"/>
    <mergeCell ref="I52:K52"/>
    <mergeCell ref="L52:N52"/>
    <mergeCell ref="O52:Q52"/>
    <mergeCell ref="I47:N47"/>
    <mergeCell ref="A42:T42"/>
    <mergeCell ref="A44:H44"/>
    <mergeCell ref="I44:N44"/>
    <mergeCell ref="O44:T44"/>
    <mergeCell ref="A45:H45"/>
    <mergeCell ref="I45:N45"/>
    <mergeCell ref="O45:T45"/>
    <mergeCell ref="A46:H46"/>
    <mergeCell ref="I46:N46"/>
    <mergeCell ref="O46:T46"/>
    <mergeCell ref="A47:H47"/>
    <mergeCell ref="A52:H52"/>
    <mergeCell ref="M30:O30"/>
    <mergeCell ref="O47:T47"/>
    <mergeCell ref="A40:L40"/>
    <mergeCell ref="M40:O40"/>
    <mergeCell ref="P40:Q40"/>
    <mergeCell ref="A32:L32"/>
    <mergeCell ref="M32:O32"/>
    <mergeCell ref="A33:L33"/>
    <mergeCell ref="M33:O33"/>
    <mergeCell ref="A35:T35"/>
    <mergeCell ref="A37:L37"/>
    <mergeCell ref="M37:O37"/>
    <mergeCell ref="A38:L38"/>
    <mergeCell ref="M38:O38"/>
    <mergeCell ref="A39:L39"/>
    <mergeCell ref="M39:O39"/>
    <mergeCell ref="A17:E17"/>
    <mergeCell ref="F17:H17"/>
    <mergeCell ref="I17:L17"/>
    <mergeCell ref="A31:L31"/>
    <mergeCell ref="M31:O31"/>
    <mergeCell ref="A21:T21"/>
    <mergeCell ref="A23:L23"/>
    <mergeCell ref="M23:O23"/>
    <mergeCell ref="A24:L24"/>
    <mergeCell ref="M24:O24"/>
    <mergeCell ref="A25:L25"/>
    <mergeCell ref="M25:O25"/>
    <mergeCell ref="A26:L26"/>
    <mergeCell ref="M26:O26"/>
    <mergeCell ref="A28:T28"/>
    <mergeCell ref="A30:L30"/>
    <mergeCell ref="F18:H18"/>
    <mergeCell ref="I18:L18"/>
    <mergeCell ref="A19:E19"/>
    <mergeCell ref="F19:H19"/>
    <mergeCell ref="I19:L19"/>
    <mergeCell ref="A1:T1"/>
    <mergeCell ref="A2:T2"/>
    <mergeCell ref="A3:T3"/>
    <mergeCell ref="A6:T6"/>
    <mergeCell ref="B60:E60"/>
    <mergeCell ref="A10:T10"/>
    <mergeCell ref="A14:E14"/>
    <mergeCell ref="F14:H14"/>
    <mergeCell ref="I14:L14"/>
    <mergeCell ref="A15:I15"/>
    <mergeCell ref="A16:E16"/>
    <mergeCell ref="F16:H16"/>
    <mergeCell ref="I16:L16"/>
    <mergeCell ref="A4:F4"/>
    <mergeCell ref="A5:T5"/>
    <mergeCell ref="A18:E18"/>
    <mergeCell ref="A62:T62"/>
    <mergeCell ref="M59:T59"/>
    <mergeCell ref="M60:T61"/>
    <mergeCell ref="H99:I99"/>
    <mergeCell ref="V90:X90"/>
    <mergeCell ref="V91:X91"/>
    <mergeCell ref="B61:E61"/>
  </mergeCells>
  <conditionalFormatting sqref="M23:O25 I16:L19">
    <cfRule type="cellIs" dxfId="27" priority="14" operator="equal">
      <formula>""</formula>
    </cfRule>
  </conditionalFormatting>
  <conditionalFormatting sqref="I14:L14">
    <cfRule type="cellIs" dxfId="26" priority="13" operator="equal">
      <formula>""</formula>
    </cfRule>
  </conditionalFormatting>
  <conditionalFormatting sqref="A5:T5">
    <cfRule type="cellIs" dxfId="25" priority="12" operator="equal">
      <formula>""</formula>
    </cfRule>
  </conditionalFormatting>
  <conditionalFormatting sqref="A10:T10">
    <cfRule type="cellIs" dxfId="24" priority="11" operator="equal">
      <formula>""</formula>
    </cfRule>
  </conditionalFormatting>
  <conditionalFormatting sqref="M30:O31">
    <cfRule type="cellIs" dxfId="23" priority="10" operator="equal">
      <formula>""</formula>
    </cfRule>
  </conditionalFormatting>
  <conditionalFormatting sqref="M37:O38">
    <cfRule type="cellIs" dxfId="22" priority="9" operator="equal">
      <formula>""</formula>
    </cfRule>
  </conditionalFormatting>
  <conditionalFormatting sqref="P39:Q39">
    <cfRule type="cellIs" dxfId="21" priority="8" operator="equal">
      <formula>""</formula>
    </cfRule>
  </conditionalFormatting>
  <conditionalFormatting sqref="I45">
    <cfRule type="cellIs" dxfId="20" priority="7" operator="equal">
      <formula>""</formula>
    </cfRule>
  </conditionalFormatting>
  <conditionalFormatting sqref="I46">
    <cfRule type="cellIs" dxfId="19" priority="6" operator="equal">
      <formula>""</formula>
    </cfRule>
  </conditionalFormatting>
  <conditionalFormatting sqref="O45">
    <cfRule type="cellIs" dxfId="18" priority="5" operator="equal">
      <formula>""</formula>
    </cfRule>
  </conditionalFormatting>
  <conditionalFormatting sqref="O46">
    <cfRule type="cellIs" dxfId="17" priority="4" operator="equal">
      <formula>""</formula>
    </cfRule>
  </conditionalFormatting>
  <conditionalFormatting sqref="F19:H19">
    <cfRule type="cellIs" dxfId="16" priority="2" operator="equal">
      <formula>""</formula>
    </cfRule>
  </conditionalFormatting>
  <conditionalFormatting sqref="M39:O39">
    <cfRule type="cellIs" dxfId="15" priority="1" operator="equal">
      <formula>""</formula>
    </cfRule>
  </conditionalFormatting>
  <dataValidations count="4">
    <dataValidation type="list" allowBlank="1" showInputMessage="1" showErrorMessage="1" sqref="I45 O45:T45" xr:uid="{00000000-0002-0000-0700-000000000000}">
      <formula1>$K$103:$K$119</formula1>
    </dataValidation>
    <dataValidation type="list" allowBlank="1" showInputMessage="1" showErrorMessage="1" sqref="P39:Q39" xr:uid="{00000000-0002-0000-0700-000001000000}">
      <formula1>$U$90:$U$91</formula1>
    </dataValidation>
    <dataValidation type="list" allowBlank="1" showInputMessage="1" showErrorMessage="1" sqref="I46:N46" xr:uid="{00000000-0002-0000-0700-000002000000}">
      <formula1>$H$124:$H$148</formula1>
    </dataValidation>
    <dataValidation type="list" allowBlank="1" showInputMessage="1" showErrorMessage="1" sqref="O46:T46" xr:uid="{00000000-0002-0000-0700-000003000000}">
      <formula1>$J$124:$J$148</formula1>
    </dataValidation>
  </dataValidations>
  <pageMargins left="0.7" right="0.7" top="0.75" bottom="0.75" header="0.3" footer="0.3"/>
  <pageSetup paperSize="9" scale="87" orientation="portrait" r:id="rId1"/>
  <headerFooter>
    <oddFooter>&amp;C&amp;"Arial,Normalny"&amp;8Strona &amp;P z &amp;N&amp;R&amp;"Arial,Normalny"&amp;8v2023-1</oddFooter>
  </headerFooter>
  <rowBreaks count="1" manualBreakCount="1">
    <brk id="67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3F2D1-179B-432F-82D5-26C486F2AA5F}">
  <sheetPr codeName="Arkusz6"/>
  <dimension ref="A1:Z60"/>
  <sheetViews>
    <sheetView zoomScaleNormal="100" zoomScaleSheetLayoutView="100" workbookViewId="0">
      <selection activeCell="A7" sqref="A7:Z7"/>
    </sheetView>
  </sheetViews>
  <sheetFormatPr defaultColWidth="8" defaultRowHeight="14.25"/>
  <cols>
    <col min="1" max="26" width="2.875" style="21" customWidth="1"/>
    <col min="27" max="16384" width="8" style="21"/>
  </cols>
  <sheetData>
    <row r="1" spans="1:26" ht="15">
      <c r="A1" s="454" t="s">
        <v>309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</row>
    <row r="2" spans="1:26">
      <c r="A2" s="442" t="s">
        <v>310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442"/>
      <c r="U2" s="442"/>
      <c r="V2" s="442"/>
      <c r="W2" s="442"/>
      <c r="X2" s="442"/>
      <c r="Y2" s="442"/>
      <c r="Z2" s="442"/>
    </row>
    <row r="3" spans="1:26">
      <c r="A3" s="455" t="s">
        <v>411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5"/>
      <c r="V3" s="455"/>
      <c r="W3" s="455"/>
      <c r="X3" s="455"/>
      <c r="Y3" s="455"/>
      <c r="Z3" s="455"/>
    </row>
    <row r="4" spans="1:26" ht="3" customHeight="1"/>
    <row r="5" spans="1:26" ht="24" customHeight="1">
      <c r="A5" s="456" t="s">
        <v>402</v>
      </c>
      <c r="B5" s="456"/>
      <c r="C5" s="456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6"/>
      <c r="U5" s="456"/>
      <c r="V5" s="456"/>
      <c r="W5" s="456"/>
      <c r="X5" s="456"/>
      <c r="Y5" s="456"/>
      <c r="Z5" s="456"/>
    </row>
    <row r="6" spans="1:26" ht="3" customHeight="1"/>
    <row r="7" spans="1:26" ht="45" customHeight="1">
      <c r="A7" s="457"/>
      <c r="B7" s="457"/>
      <c r="C7" s="457"/>
      <c r="D7" s="457"/>
      <c r="E7" s="457"/>
      <c r="F7" s="457"/>
      <c r="G7" s="457"/>
      <c r="H7" s="457"/>
      <c r="I7" s="457"/>
      <c r="J7" s="457"/>
      <c r="K7" s="457"/>
      <c r="L7" s="457"/>
      <c r="M7" s="457"/>
      <c r="N7" s="457"/>
      <c r="O7" s="457"/>
      <c r="P7" s="457"/>
      <c r="Q7" s="457"/>
      <c r="R7" s="457"/>
      <c r="S7" s="457"/>
      <c r="T7" s="457"/>
      <c r="U7" s="457"/>
      <c r="V7" s="457"/>
      <c r="W7" s="457"/>
      <c r="X7" s="457"/>
      <c r="Y7" s="457"/>
      <c r="Z7" s="457"/>
    </row>
    <row r="8" spans="1:26" ht="12" customHeight="1">
      <c r="A8" s="453" t="s">
        <v>166</v>
      </c>
      <c r="B8" s="453"/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3"/>
      <c r="P8" s="453"/>
      <c r="Q8" s="453"/>
      <c r="R8" s="453"/>
      <c r="S8" s="453"/>
      <c r="T8" s="453"/>
      <c r="U8" s="453"/>
      <c r="V8" s="453"/>
      <c r="W8" s="453"/>
      <c r="X8" s="453"/>
      <c r="Y8" s="453"/>
      <c r="Z8" s="453"/>
    </row>
    <row r="9" spans="1:26" ht="3" customHeight="1"/>
    <row r="10" spans="1:26" s="23" customFormat="1" ht="15" customHeight="1">
      <c r="A10" s="22" t="s">
        <v>311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3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5" customHeight="1">
      <c r="A12" s="25" t="s">
        <v>237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438" t="s">
        <v>297</v>
      </c>
      <c r="P12" s="439"/>
      <c r="Q12" s="440"/>
      <c r="R12" s="449"/>
      <c r="S12" s="450"/>
      <c r="T12" s="451"/>
    </row>
    <row r="13" spans="1:26" ht="15" customHeight="1">
      <c r="A13" s="25" t="s">
        <v>312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438" t="s">
        <v>234</v>
      </c>
      <c r="P13" s="439"/>
      <c r="Q13" s="440"/>
      <c r="R13" s="449"/>
      <c r="S13" s="450"/>
      <c r="T13" s="451"/>
    </row>
    <row r="14" spans="1:26" ht="15" customHeight="1">
      <c r="A14" s="27"/>
      <c r="B14" s="28"/>
      <c r="C14" s="28"/>
      <c r="D14" s="28"/>
      <c r="E14" s="28"/>
      <c r="F14" s="28"/>
    </row>
    <row r="15" spans="1:26" s="23" customFormat="1" ht="15" customHeight="1">
      <c r="A15" s="22" t="s">
        <v>313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Y15" s="29"/>
      <c r="Z15" s="29"/>
    </row>
    <row r="16" spans="1:26" ht="3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Y16" s="24"/>
      <c r="Z16" s="24"/>
    </row>
    <row r="17" spans="1:26" ht="15" customHeight="1">
      <c r="A17" s="25" t="s">
        <v>314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438" t="s">
        <v>297</v>
      </c>
      <c r="P17" s="439"/>
      <c r="Q17" s="440"/>
      <c r="R17" s="449"/>
      <c r="S17" s="450"/>
      <c r="T17" s="451"/>
    </row>
    <row r="18" spans="1:26" ht="15" customHeight="1">
      <c r="A18" s="25" t="s">
        <v>315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438" t="s">
        <v>316</v>
      </c>
      <c r="P18" s="439"/>
      <c r="Q18" s="440"/>
      <c r="R18" s="449"/>
      <c r="S18" s="450"/>
      <c r="T18" s="451"/>
    </row>
    <row r="19" spans="1:26" ht="15" customHeight="1">
      <c r="A19" s="27"/>
      <c r="B19" s="28"/>
      <c r="C19" s="28"/>
      <c r="D19" s="28"/>
      <c r="E19" s="28"/>
      <c r="F19" s="28"/>
    </row>
    <row r="20" spans="1:26" s="23" customFormat="1" ht="30" customHeight="1">
      <c r="A20" s="458" t="s">
        <v>317</v>
      </c>
      <c r="B20" s="458"/>
      <c r="C20" s="458"/>
      <c r="D20" s="458"/>
      <c r="E20" s="458"/>
      <c r="F20" s="458"/>
      <c r="G20" s="458"/>
      <c r="H20" s="458"/>
      <c r="I20" s="458"/>
      <c r="J20" s="458"/>
      <c r="K20" s="458"/>
      <c r="L20" s="458"/>
      <c r="M20" s="458"/>
      <c r="N20" s="458"/>
      <c r="O20" s="458"/>
      <c r="P20" s="458"/>
      <c r="Q20" s="458"/>
      <c r="R20" s="458"/>
      <c r="S20" s="458"/>
      <c r="T20" s="458"/>
      <c r="U20" s="458"/>
      <c r="V20" s="458"/>
      <c r="W20" s="458"/>
      <c r="X20" s="458"/>
      <c r="Y20" s="458"/>
      <c r="Z20" s="458"/>
    </row>
    <row r="21" spans="1:26" ht="3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5" customHeight="1">
      <c r="A22" s="25" t="s">
        <v>318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438" t="s">
        <v>319</v>
      </c>
      <c r="P22" s="439"/>
      <c r="Q22" s="439"/>
      <c r="R22" s="439"/>
      <c r="S22" s="439"/>
      <c r="T22" s="440"/>
    </row>
    <row r="23" spans="1:26" ht="15" customHeight="1">
      <c r="A23" s="25" t="s">
        <v>237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438" t="s">
        <v>234</v>
      </c>
      <c r="P23" s="439"/>
      <c r="Q23" s="440"/>
      <c r="R23" s="449"/>
      <c r="S23" s="450"/>
      <c r="T23" s="451"/>
    </row>
    <row r="24" spans="1:26" ht="15" customHeight="1">
      <c r="A24" s="25" t="s">
        <v>320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438" t="s">
        <v>234</v>
      </c>
      <c r="P24" s="439"/>
      <c r="Q24" s="440"/>
      <c r="R24" s="449"/>
      <c r="S24" s="450"/>
      <c r="T24" s="451"/>
    </row>
    <row r="25" spans="1:26" ht="15" customHeight="1">
      <c r="A25" s="25" t="s">
        <v>321</v>
      </c>
      <c r="B25" s="26"/>
      <c r="C25" s="26"/>
      <c r="D25" s="26"/>
      <c r="E25" s="26"/>
      <c r="F25" s="26"/>
      <c r="G25" s="26"/>
      <c r="H25" s="449"/>
      <c r="I25" s="450"/>
      <c r="J25" s="450"/>
      <c r="K25" s="450"/>
      <c r="L25" s="450"/>
      <c r="M25" s="450"/>
      <c r="N25" s="451"/>
      <c r="O25" s="438" t="s">
        <v>234</v>
      </c>
      <c r="P25" s="439"/>
      <c r="Q25" s="440"/>
      <c r="R25" s="449"/>
      <c r="S25" s="450"/>
      <c r="T25" s="451"/>
    </row>
    <row r="26" spans="1:26" ht="15" customHeight="1">
      <c r="A26" s="27"/>
      <c r="B26" s="28"/>
      <c r="C26" s="28"/>
      <c r="D26" s="28"/>
      <c r="E26" s="28"/>
      <c r="F26" s="28"/>
    </row>
    <row r="27" spans="1:26" s="23" customFormat="1" ht="17.25">
      <c r="A27" s="212" t="s">
        <v>412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Y27" s="29"/>
      <c r="Z27" s="29"/>
    </row>
    <row r="28" spans="1:26" ht="3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5" customHeight="1">
      <c r="A29" s="430" t="s">
        <v>322</v>
      </c>
      <c r="B29" s="431"/>
      <c r="C29" s="431"/>
      <c r="D29" s="431"/>
      <c r="E29" s="431"/>
      <c r="F29" s="431"/>
      <c r="G29" s="431"/>
      <c r="H29" s="431"/>
      <c r="I29" s="431"/>
      <c r="J29" s="431"/>
      <c r="K29" s="431"/>
      <c r="L29" s="431"/>
      <c r="M29" s="431"/>
      <c r="N29" s="431"/>
      <c r="O29" s="431"/>
      <c r="P29" s="431"/>
      <c r="Q29" s="431"/>
      <c r="R29" s="432"/>
      <c r="S29" s="438" t="s">
        <v>262</v>
      </c>
      <c r="T29" s="439"/>
      <c r="U29" s="440"/>
      <c r="V29" s="449"/>
      <c r="W29" s="450"/>
      <c r="X29" s="451"/>
    </row>
    <row r="30" spans="1:26" ht="30" customHeight="1">
      <c r="A30" s="446" t="s">
        <v>323</v>
      </c>
      <c r="B30" s="447"/>
      <c r="C30" s="447"/>
      <c r="D30" s="447"/>
      <c r="E30" s="447"/>
      <c r="F30" s="447"/>
      <c r="G30" s="447"/>
      <c r="H30" s="447"/>
      <c r="I30" s="447"/>
      <c r="J30" s="447"/>
      <c r="K30" s="447"/>
      <c r="L30" s="447"/>
      <c r="M30" s="447"/>
      <c r="N30" s="447"/>
      <c r="O30" s="447"/>
      <c r="P30" s="447"/>
      <c r="Q30" s="447"/>
      <c r="R30" s="448"/>
      <c r="S30" s="438" t="s">
        <v>262</v>
      </c>
      <c r="T30" s="439"/>
      <c r="U30" s="440"/>
      <c r="V30" s="449"/>
      <c r="W30" s="450"/>
      <c r="X30" s="451"/>
    </row>
    <row r="31" spans="1:26" ht="15" customHeight="1">
      <c r="A31" s="430" t="s">
        <v>324</v>
      </c>
      <c r="B31" s="431"/>
      <c r="C31" s="431"/>
      <c r="D31" s="431"/>
      <c r="E31" s="431"/>
      <c r="F31" s="431"/>
      <c r="G31" s="431"/>
      <c r="H31" s="431"/>
      <c r="I31" s="431"/>
      <c r="J31" s="431"/>
      <c r="K31" s="431"/>
      <c r="L31" s="431"/>
      <c r="M31" s="431"/>
      <c r="N31" s="431"/>
      <c r="O31" s="431"/>
      <c r="P31" s="431"/>
      <c r="Q31" s="431"/>
      <c r="R31" s="432"/>
      <c r="S31" s="438" t="s">
        <v>325</v>
      </c>
      <c r="T31" s="439"/>
      <c r="U31" s="440"/>
      <c r="V31" s="443" t="str">
        <f>IF(AND(R12&lt;&gt;0,R13&lt;&gt;0,R17=0,R18=0,V29&lt;&gt;0,V30&lt;&gt;0),(V29*emisyjnosc)-(V30*emisyjnosc),"")</f>
        <v/>
      </c>
      <c r="W31" s="444"/>
      <c r="X31" s="445"/>
    </row>
    <row r="32" spans="1:26" ht="15" customHeight="1">
      <c r="A32" s="430" t="s">
        <v>326</v>
      </c>
      <c r="B32" s="431"/>
      <c r="C32" s="431"/>
      <c r="D32" s="431"/>
      <c r="E32" s="431"/>
      <c r="F32" s="431"/>
      <c r="G32" s="431"/>
      <c r="H32" s="431"/>
      <c r="I32" s="431"/>
      <c r="J32" s="431"/>
      <c r="K32" s="431"/>
      <c r="L32" s="431"/>
      <c r="M32" s="431"/>
      <c r="N32" s="431"/>
      <c r="O32" s="431"/>
      <c r="P32" s="431"/>
      <c r="Q32" s="431"/>
      <c r="R32" s="432"/>
      <c r="S32" s="438" t="s">
        <v>325</v>
      </c>
      <c r="T32" s="439"/>
      <c r="U32" s="440"/>
      <c r="V32" s="443" t="str">
        <f>IF(AND(R12=0,R13=0,R17&lt;&gt;0,R18&lt;&gt;0,V29&lt;&gt;0,V30&lt;&gt;0),0.3*((V29*emisyjnosc)-(V30*emisyjnosc)),"")</f>
        <v/>
      </c>
      <c r="W32" s="444"/>
      <c r="X32" s="445"/>
    </row>
    <row r="33" spans="1:26" ht="30" customHeight="1">
      <c r="A33" s="446" t="s">
        <v>327</v>
      </c>
      <c r="B33" s="447"/>
      <c r="C33" s="447"/>
      <c r="D33" s="447"/>
      <c r="E33" s="447"/>
      <c r="F33" s="447"/>
      <c r="G33" s="447"/>
      <c r="H33" s="447"/>
      <c r="I33" s="447"/>
      <c r="J33" s="447"/>
      <c r="K33" s="447"/>
      <c r="L33" s="447"/>
      <c r="M33" s="447"/>
      <c r="N33" s="447"/>
      <c r="O33" s="447"/>
      <c r="P33" s="447"/>
      <c r="Q33" s="447"/>
      <c r="R33" s="448"/>
      <c r="S33" s="438" t="s">
        <v>325</v>
      </c>
      <c r="T33" s="439"/>
      <c r="U33" s="440"/>
      <c r="V33" s="443" t="str">
        <f>IF(AND(R12&lt;&gt;0,R13&lt;&gt;0,R17&lt;&gt;0,R18&lt;&gt;0,V29&lt;&gt;0,V30&lt;&gt;0),1.3*((V29*emisyjnosc)-(V30*emisyjnosc)),"")</f>
        <v/>
      </c>
      <c r="W33" s="444"/>
      <c r="X33" s="445"/>
    </row>
    <row r="34" spans="1:26" ht="30" customHeight="1">
      <c r="A34" s="430" t="s">
        <v>328</v>
      </c>
      <c r="B34" s="431"/>
      <c r="C34" s="431"/>
      <c r="D34" s="431"/>
      <c r="E34" s="431"/>
      <c r="F34" s="431"/>
      <c r="G34" s="431"/>
      <c r="H34" s="431"/>
      <c r="I34" s="431"/>
      <c r="J34" s="431"/>
      <c r="K34" s="431"/>
      <c r="L34" s="431"/>
      <c r="M34" s="431"/>
      <c r="N34" s="431"/>
      <c r="O34" s="431"/>
      <c r="P34" s="431"/>
      <c r="Q34" s="431"/>
      <c r="R34" s="432"/>
      <c r="S34" s="433" t="s">
        <v>329</v>
      </c>
      <c r="T34" s="434"/>
      <c r="U34" s="434"/>
      <c r="V34" s="435" t="str">
        <f>IF(R13&lt;&gt;0,V29*1000/R13,"")</f>
        <v/>
      </c>
      <c r="W34" s="436"/>
      <c r="X34" s="437"/>
    </row>
    <row r="35" spans="1:26" ht="15" customHeight="1">
      <c r="A35" s="430" t="s">
        <v>307</v>
      </c>
      <c r="B35" s="431"/>
      <c r="C35" s="431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1"/>
      <c r="O35" s="431"/>
      <c r="P35" s="431"/>
      <c r="Q35" s="431"/>
      <c r="R35" s="431"/>
      <c r="S35" s="431"/>
      <c r="T35" s="431"/>
      <c r="U35" s="432"/>
      <c r="V35" s="438" t="str">
        <f>IF(AND(R13&lt;&gt;0,V29&lt;&gt;0),IF(V34&gt;=900,"TAK","NIE"),"")</f>
        <v/>
      </c>
      <c r="W35" s="439"/>
      <c r="X35" s="440"/>
    </row>
    <row r="36" spans="1:26" ht="1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30"/>
      <c r="R36" s="23"/>
      <c r="S36" s="23"/>
      <c r="T36" s="23"/>
      <c r="U36" s="23"/>
      <c r="Y36" s="23"/>
    </row>
    <row r="37" spans="1:26" ht="105" customHeight="1"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</row>
    <row r="38" spans="1:26">
      <c r="A38" s="441"/>
      <c r="B38" s="441"/>
      <c r="C38" s="441"/>
      <c r="D38" s="441"/>
      <c r="E38" s="441"/>
      <c r="F38" s="441"/>
      <c r="G38" s="441"/>
      <c r="H38" s="441"/>
      <c r="I38" s="23" t="str">
        <f ca="1">CONCATENATE(", dnia ",TEXT(TODAY(),"dd.mm.rrrr")," r.")</f>
        <v>, dnia 11.01.2023 r.</v>
      </c>
      <c r="J38" s="23"/>
      <c r="K38" s="23"/>
      <c r="L38" s="23"/>
      <c r="M38" s="23"/>
      <c r="N38" s="23"/>
      <c r="O38" s="442" t="s">
        <v>330</v>
      </c>
      <c r="P38" s="442"/>
      <c r="Q38" s="442"/>
      <c r="R38" s="442"/>
      <c r="S38" s="442"/>
      <c r="T38" s="442"/>
      <c r="U38" s="442"/>
      <c r="V38" s="442"/>
      <c r="W38" s="442"/>
      <c r="X38" s="442"/>
      <c r="Y38" s="442"/>
      <c r="Z38" s="442"/>
    </row>
    <row r="39" spans="1:26" ht="24" customHeight="1">
      <c r="A39" s="23"/>
      <c r="B39" s="23"/>
      <c r="C39" s="23"/>
      <c r="D39" s="23"/>
      <c r="E39" s="23"/>
      <c r="F39" s="23"/>
      <c r="H39" s="31" t="s">
        <v>331</v>
      </c>
      <c r="I39" s="32" t="s">
        <v>332</v>
      </c>
      <c r="J39" s="23"/>
      <c r="K39" s="23"/>
      <c r="L39" s="23"/>
      <c r="M39" s="23"/>
      <c r="N39" s="33"/>
      <c r="O39" s="429" t="s">
        <v>333</v>
      </c>
      <c r="P39" s="429"/>
      <c r="Q39" s="429"/>
      <c r="R39" s="429"/>
      <c r="S39" s="429"/>
      <c r="T39" s="429"/>
      <c r="U39" s="429"/>
      <c r="V39" s="429"/>
      <c r="W39" s="429"/>
      <c r="X39" s="429"/>
      <c r="Y39" s="429"/>
      <c r="Z39" s="429"/>
    </row>
    <row r="40" spans="1:26" ht="36" customHeight="1">
      <c r="A40" s="452" t="s">
        <v>419</v>
      </c>
      <c r="B40" s="452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  <c r="T40" s="452"/>
      <c r="U40" s="452"/>
      <c r="V40" s="452"/>
      <c r="W40" s="452"/>
      <c r="X40" s="452"/>
      <c r="Y40" s="452"/>
      <c r="Z40" s="452"/>
    </row>
    <row r="41" spans="1:26">
      <c r="A41" s="33"/>
    </row>
    <row r="42" spans="1:26" ht="1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52" spans="2:3" ht="15" customHeight="1"/>
    <row r="58" spans="2:3" ht="15">
      <c r="B58" s="34"/>
      <c r="C58" s="34"/>
    </row>
    <row r="59" spans="2:3" ht="15">
      <c r="B59" s="34"/>
      <c r="C59" s="34"/>
    </row>
    <row r="60" spans="2:3" ht="15">
      <c r="B60" s="34"/>
      <c r="C60" s="34"/>
    </row>
  </sheetData>
  <sheetProtection algorithmName="SHA-512" hashValue="v3bJrfWmB7XjuRj8Z2FePem+8VnyAFKGHHl+2FHxtmUVyfCGQYcxloQWBrfIDonYP8eppGfQpIK1Hb/1etz0NA==" saltValue="tsZBA/k0WIl9Dl//6QB6Rw==" spinCount="100000" sheet="1" formatRows="0"/>
  <mergeCells count="47">
    <mergeCell ref="A40:Z40"/>
    <mergeCell ref="A8:Z8"/>
    <mergeCell ref="A1:Z1"/>
    <mergeCell ref="A2:Z2"/>
    <mergeCell ref="A3:Z3"/>
    <mergeCell ref="A5:Z5"/>
    <mergeCell ref="A7:Z7"/>
    <mergeCell ref="O12:Q12"/>
    <mergeCell ref="R12:T12"/>
    <mergeCell ref="O13:Q13"/>
    <mergeCell ref="R13:T13"/>
    <mergeCell ref="O17:Q17"/>
    <mergeCell ref="R17:T17"/>
    <mergeCell ref="O18:Q18"/>
    <mergeCell ref="R18:T18"/>
    <mergeCell ref="A20:Z20"/>
    <mergeCell ref="O22:T22"/>
    <mergeCell ref="O23:Q23"/>
    <mergeCell ref="R23:T23"/>
    <mergeCell ref="O24:Q24"/>
    <mergeCell ref="R24:T24"/>
    <mergeCell ref="H25:N25"/>
    <mergeCell ref="O25:Q25"/>
    <mergeCell ref="R25:T25"/>
    <mergeCell ref="V29:X29"/>
    <mergeCell ref="A30:R30"/>
    <mergeCell ref="S30:U30"/>
    <mergeCell ref="V30:X30"/>
    <mergeCell ref="A31:R31"/>
    <mergeCell ref="S31:U31"/>
    <mergeCell ref="V31:X31"/>
    <mergeCell ref="A29:R29"/>
    <mergeCell ref="S29:U29"/>
    <mergeCell ref="A32:R32"/>
    <mergeCell ref="S32:U32"/>
    <mergeCell ref="V32:X32"/>
    <mergeCell ref="A33:R33"/>
    <mergeCell ref="S33:U33"/>
    <mergeCell ref="V33:X33"/>
    <mergeCell ref="O39:Z39"/>
    <mergeCell ref="A34:R34"/>
    <mergeCell ref="S34:U34"/>
    <mergeCell ref="V34:X34"/>
    <mergeCell ref="A35:U35"/>
    <mergeCell ref="V35:X35"/>
    <mergeCell ref="A38:H38"/>
    <mergeCell ref="O38:Z38"/>
  </mergeCells>
  <conditionalFormatting sqref="A7:Z7">
    <cfRule type="cellIs" dxfId="14" priority="9" operator="equal">
      <formula>""</formula>
    </cfRule>
  </conditionalFormatting>
  <conditionalFormatting sqref="R12:T13">
    <cfRule type="cellIs" dxfId="13" priority="8" operator="equal">
      <formula>""</formula>
    </cfRule>
  </conditionalFormatting>
  <conditionalFormatting sqref="A38">
    <cfRule type="cellIs" dxfId="12" priority="7" operator="equal">
      <formula>""</formula>
    </cfRule>
  </conditionalFormatting>
  <conditionalFormatting sqref="R17:T18">
    <cfRule type="cellIs" dxfId="11" priority="6" operator="equal">
      <formula>""</formula>
    </cfRule>
  </conditionalFormatting>
  <conditionalFormatting sqref="V29:X30">
    <cfRule type="cellIs" dxfId="10" priority="5" operator="equal">
      <formula>""</formula>
    </cfRule>
  </conditionalFormatting>
  <conditionalFormatting sqref="R23:T23">
    <cfRule type="cellIs" dxfId="9" priority="4" operator="equal">
      <formula>""</formula>
    </cfRule>
  </conditionalFormatting>
  <conditionalFormatting sqref="R25:T25">
    <cfRule type="cellIs" dxfId="8" priority="3" operator="equal">
      <formula>""</formula>
    </cfRule>
  </conditionalFormatting>
  <conditionalFormatting sqref="H25">
    <cfRule type="cellIs" dxfId="7" priority="2" operator="equal">
      <formula>""</formula>
    </cfRule>
  </conditionalFormatting>
  <conditionalFormatting sqref="R24:T24">
    <cfRule type="cellIs" dxfId="6" priority="1" operator="equal">
      <formula>""</formula>
    </cfRule>
  </conditionalFormatting>
  <pageMargins left="0.7" right="0.7" top="0.75" bottom="0.75" header="0.3" footer="0.3"/>
  <pageSetup paperSize="9" orientation="portrait" r:id="rId1"/>
  <headerFooter>
    <oddFooter>&amp;C&amp;"Arial,Normalny"&amp;8Strona &amp;P z &amp;N&amp;R&amp;"Arial,Normalny"&amp;8v2023-1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F04E7-BDF7-4BB0-9BF0-2EE2CA01A39E}">
  <sheetPr codeName="Arkusz7"/>
  <dimension ref="A1:Z63"/>
  <sheetViews>
    <sheetView zoomScaleNormal="100" zoomScaleSheetLayoutView="100" workbookViewId="0">
      <selection activeCell="A7" sqref="A7:Z7"/>
    </sheetView>
  </sheetViews>
  <sheetFormatPr defaultColWidth="8" defaultRowHeight="14.25"/>
  <cols>
    <col min="1" max="26" width="2.875" style="21" customWidth="1"/>
    <col min="27" max="16384" width="8" style="21"/>
  </cols>
  <sheetData>
    <row r="1" spans="1:26" ht="15">
      <c r="A1" s="454" t="s">
        <v>334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</row>
    <row r="2" spans="1:26">
      <c r="A2" s="442" t="s">
        <v>310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442"/>
      <c r="U2" s="442"/>
      <c r="V2" s="442"/>
      <c r="W2" s="442"/>
      <c r="X2" s="442"/>
      <c r="Y2" s="442"/>
      <c r="Z2" s="442"/>
    </row>
    <row r="3" spans="1:26">
      <c r="A3" s="442" t="s">
        <v>393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</row>
    <row r="4" spans="1:26" ht="3" customHeight="1"/>
    <row r="5" spans="1:26" ht="24" customHeight="1">
      <c r="A5" s="456" t="s">
        <v>402</v>
      </c>
      <c r="B5" s="456"/>
      <c r="C5" s="456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6"/>
      <c r="U5" s="456"/>
      <c r="V5" s="456"/>
      <c r="W5" s="456"/>
      <c r="X5" s="456"/>
      <c r="Y5" s="456"/>
      <c r="Z5" s="456"/>
    </row>
    <row r="6" spans="1:26" ht="3" customHeight="1"/>
    <row r="7" spans="1:26" ht="45" customHeight="1">
      <c r="A7" s="457"/>
      <c r="B7" s="457"/>
      <c r="C7" s="457"/>
      <c r="D7" s="457"/>
      <c r="E7" s="457"/>
      <c r="F7" s="457"/>
      <c r="G7" s="457"/>
      <c r="H7" s="457"/>
      <c r="I7" s="457"/>
      <c r="J7" s="457"/>
      <c r="K7" s="457"/>
      <c r="L7" s="457"/>
      <c r="M7" s="457"/>
      <c r="N7" s="457"/>
      <c r="O7" s="457"/>
      <c r="P7" s="457"/>
      <c r="Q7" s="457"/>
      <c r="R7" s="457"/>
      <c r="S7" s="457"/>
      <c r="T7" s="457"/>
      <c r="U7" s="457"/>
      <c r="V7" s="457"/>
      <c r="W7" s="457"/>
      <c r="X7" s="457"/>
      <c r="Y7" s="457"/>
      <c r="Z7" s="457"/>
    </row>
    <row r="8" spans="1:26" ht="12" customHeight="1">
      <c r="A8" s="453" t="s">
        <v>166</v>
      </c>
      <c r="B8" s="453"/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3"/>
      <c r="P8" s="453"/>
      <c r="Q8" s="453"/>
      <c r="R8" s="453"/>
      <c r="S8" s="453"/>
      <c r="T8" s="453"/>
      <c r="U8" s="453"/>
      <c r="V8" s="453"/>
      <c r="W8" s="453"/>
      <c r="X8" s="453"/>
      <c r="Y8" s="453"/>
      <c r="Z8" s="453"/>
    </row>
    <row r="9" spans="1:26" ht="3" customHeight="1"/>
    <row r="10" spans="1:26" s="23" customFormat="1" ht="30" customHeight="1">
      <c r="A10" s="458" t="s">
        <v>335</v>
      </c>
      <c r="B10" s="458"/>
      <c r="C10" s="458"/>
      <c r="D10" s="458"/>
      <c r="E10" s="458"/>
      <c r="F10" s="458"/>
      <c r="G10" s="458"/>
      <c r="H10" s="458"/>
      <c r="I10" s="458"/>
      <c r="J10" s="458"/>
      <c r="K10" s="458"/>
      <c r="L10" s="458"/>
      <c r="M10" s="458"/>
      <c r="N10" s="458"/>
      <c r="O10" s="458"/>
      <c r="P10" s="458"/>
      <c r="Q10" s="458"/>
      <c r="R10" s="458"/>
      <c r="S10" s="458"/>
      <c r="T10" s="458"/>
      <c r="U10" s="458"/>
      <c r="V10" s="458"/>
      <c r="W10" s="458"/>
      <c r="X10" s="458"/>
      <c r="Y10" s="458"/>
      <c r="Z10" s="458"/>
    </row>
    <row r="11" spans="1:26" ht="3" customHeight="1">
      <c r="A11" s="460"/>
      <c r="B11" s="460"/>
      <c r="C11" s="460"/>
      <c r="D11" s="460"/>
      <c r="E11" s="460"/>
      <c r="F11" s="460"/>
      <c r="G11" s="460"/>
      <c r="H11" s="460"/>
      <c r="I11" s="460"/>
      <c r="J11" s="460"/>
      <c r="K11" s="460"/>
      <c r="L11" s="460"/>
      <c r="M11" s="460"/>
      <c r="N11" s="460"/>
      <c r="O11" s="460"/>
      <c r="P11" s="460"/>
      <c r="Q11" s="460"/>
      <c r="R11" s="460"/>
      <c r="S11" s="460"/>
      <c r="T11" s="460"/>
      <c r="U11" s="460"/>
      <c r="V11" s="460"/>
      <c r="W11" s="460"/>
      <c r="X11" s="460"/>
      <c r="Y11" s="460"/>
      <c r="Z11" s="460"/>
    </row>
    <row r="12" spans="1:26" ht="15" customHeight="1">
      <c r="A12" s="430" t="s">
        <v>336</v>
      </c>
      <c r="B12" s="431"/>
      <c r="C12" s="431"/>
      <c r="D12" s="431"/>
      <c r="E12" s="431"/>
      <c r="F12" s="431"/>
      <c r="G12" s="431"/>
      <c r="H12" s="431"/>
      <c r="I12" s="431"/>
      <c r="J12" s="431"/>
      <c r="K12" s="431"/>
      <c r="L12" s="431"/>
      <c r="M12" s="431"/>
      <c r="N12" s="431"/>
      <c r="O12" s="431"/>
      <c r="P12" s="431"/>
      <c r="Q12" s="431"/>
      <c r="R12" s="432"/>
      <c r="S12" s="438" t="s">
        <v>297</v>
      </c>
      <c r="T12" s="439"/>
      <c r="U12" s="440"/>
      <c r="V12" s="449"/>
      <c r="W12" s="450"/>
      <c r="X12" s="451"/>
    </row>
    <row r="13" spans="1:26" ht="15" customHeight="1">
      <c r="A13" s="430" t="s">
        <v>337</v>
      </c>
      <c r="B13" s="431"/>
      <c r="C13" s="431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431"/>
      <c r="O13" s="431"/>
      <c r="P13" s="431"/>
      <c r="Q13" s="431"/>
      <c r="R13" s="432"/>
      <c r="S13" s="438" t="s">
        <v>234</v>
      </c>
      <c r="T13" s="439"/>
      <c r="U13" s="440"/>
      <c r="V13" s="462"/>
      <c r="W13" s="463"/>
      <c r="X13" s="464"/>
    </row>
    <row r="14" spans="1:26" ht="15" customHeight="1">
      <c r="A14" s="430" t="s">
        <v>338</v>
      </c>
      <c r="B14" s="431"/>
      <c r="C14" s="431"/>
      <c r="D14" s="431"/>
      <c r="E14" s="431"/>
      <c r="F14" s="431"/>
      <c r="G14" s="431"/>
      <c r="H14" s="431"/>
      <c r="I14" s="431"/>
      <c r="J14" s="431"/>
      <c r="K14" s="431"/>
      <c r="L14" s="431"/>
      <c r="M14" s="431"/>
      <c r="N14" s="431"/>
      <c r="O14" s="431"/>
      <c r="P14" s="431"/>
      <c r="Q14" s="431"/>
      <c r="R14" s="432"/>
      <c r="S14" s="438" t="s">
        <v>34</v>
      </c>
      <c r="T14" s="439"/>
      <c r="U14" s="440"/>
      <c r="V14" s="461"/>
      <c r="W14" s="461"/>
      <c r="X14" s="461"/>
    </row>
    <row r="15" spans="1:26" ht="15" customHeight="1">
      <c r="A15" s="430" t="s">
        <v>339</v>
      </c>
      <c r="B15" s="431"/>
      <c r="C15" s="431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1"/>
      <c r="O15" s="431"/>
      <c r="P15" s="431"/>
      <c r="Q15" s="431"/>
      <c r="R15" s="432"/>
      <c r="S15" s="438" t="s">
        <v>325</v>
      </c>
      <c r="T15" s="439"/>
      <c r="U15" s="440"/>
      <c r="V15" s="443" t="str">
        <f>IF(AND(V12&lt;&gt;"",V13&lt;&gt;"",V14&lt;&gt;""),V13*V14*8760/zuzycie.energii.osobowy*emisja.osobowy/1000000,"")</f>
        <v/>
      </c>
      <c r="W15" s="444"/>
      <c r="X15" s="445"/>
    </row>
    <row r="16" spans="1:26" ht="15" customHeight="1">
      <c r="A16" s="27"/>
      <c r="B16" s="28"/>
      <c r="C16" s="28"/>
      <c r="D16" s="28"/>
      <c r="E16" s="28"/>
      <c r="F16" s="28"/>
    </row>
    <row r="17" spans="1:26" s="23" customFormat="1" ht="30" customHeight="1">
      <c r="A17" s="458" t="s">
        <v>340</v>
      </c>
      <c r="B17" s="458"/>
      <c r="C17" s="458"/>
      <c r="D17" s="458"/>
      <c r="E17" s="458"/>
      <c r="F17" s="458"/>
      <c r="G17" s="458"/>
      <c r="H17" s="458"/>
      <c r="I17" s="458"/>
      <c r="J17" s="458"/>
      <c r="K17" s="458"/>
      <c r="L17" s="458"/>
      <c r="M17" s="458"/>
      <c r="N17" s="458"/>
      <c r="O17" s="458"/>
      <c r="P17" s="458"/>
      <c r="Q17" s="458"/>
      <c r="R17" s="458"/>
      <c r="S17" s="458"/>
      <c r="T17" s="458"/>
      <c r="U17" s="458"/>
      <c r="V17" s="458"/>
      <c r="W17" s="458"/>
      <c r="X17" s="458"/>
      <c r="Y17" s="458"/>
      <c r="Z17" s="458"/>
    </row>
    <row r="18" spans="1:26" ht="3" customHeight="1">
      <c r="A18" s="460"/>
      <c r="B18" s="460"/>
      <c r="C18" s="460"/>
      <c r="D18" s="460"/>
      <c r="E18" s="460"/>
      <c r="F18" s="460"/>
      <c r="G18" s="460"/>
      <c r="H18" s="460"/>
      <c r="I18" s="460"/>
      <c r="J18" s="460"/>
      <c r="K18" s="460"/>
      <c r="L18" s="460"/>
      <c r="M18" s="460"/>
      <c r="N18" s="460"/>
      <c r="O18" s="460"/>
      <c r="P18" s="460"/>
      <c r="Q18" s="460"/>
      <c r="R18" s="460"/>
      <c r="S18" s="460"/>
      <c r="T18" s="460"/>
      <c r="U18" s="460"/>
      <c r="V18" s="460"/>
      <c r="W18" s="460"/>
      <c r="X18" s="460"/>
      <c r="Y18" s="460"/>
      <c r="Z18" s="460"/>
    </row>
    <row r="19" spans="1:26" ht="15" customHeight="1">
      <c r="A19" s="430" t="s">
        <v>336</v>
      </c>
      <c r="B19" s="431"/>
      <c r="C19" s="431"/>
      <c r="D19" s="431"/>
      <c r="E19" s="431"/>
      <c r="F19" s="431"/>
      <c r="G19" s="431"/>
      <c r="H19" s="431"/>
      <c r="I19" s="431"/>
      <c r="J19" s="431"/>
      <c r="K19" s="431"/>
      <c r="L19" s="431"/>
      <c r="M19" s="431"/>
      <c r="N19" s="431"/>
      <c r="O19" s="431"/>
      <c r="P19" s="431"/>
      <c r="Q19" s="431"/>
      <c r="R19" s="432"/>
      <c r="S19" s="438" t="s">
        <v>297</v>
      </c>
      <c r="T19" s="439"/>
      <c r="U19" s="440"/>
      <c r="V19" s="449"/>
      <c r="W19" s="450"/>
      <c r="X19" s="451"/>
    </row>
    <row r="20" spans="1:26" ht="15" customHeight="1">
      <c r="A20" s="430" t="s">
        <v>337</v>
      </c>
      <c r="B20" s="431"/>
      <c r="C20" s="431"/>
      <c r="D20" s="431"/>
      <c r="E20" s="431"/>
      <c r="F20" s="431"/>
      <c r="G20" s="431"/>
      <c r="H20" s="431"/>
      <c r="I20" s="431"/>
      <c r="J20" s="431"/>
      <c r="K20" s="431"/>
      <c r="L20" s="431"/>
      <c r="M20" s="431"/>
      <c r="N20" s="431"/>
      <c r="O20" s="431"/>
      <c r="P20" s="431"/>
      <c r="Q20" s="431"/>
      <c r="R20" s="432"/>
      <c r="S20" s="438" t="s">
        <v>234</v>
      </c>
      <c r="T20" s="439"/>
      <c r="U20" s="440"/>
      <c r="V20" s="462"/>
      <c r="W20" s="463"/>
      <c r="X20" s="464"/>
    </row>
    <row r="21" spans="1:26" ht="15" customHeight="1">
      <c r="A21" s="430" t="s">
        <v>338</v>
      </c>
      <c r="B21" s="431"/>
      <c r="C21" s="431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1"/>
      <c r="O21" s="431"/>
      <c r="P21" s="431"/>
      <c r="Q21" s="431"/>
      <c r="R21" s="432"/>
      <c r="S21" s="438" t="s">
        <v>34</v>
      </c>
      <c r="T21" s="439"/>
      <c r="U21" s="440"/>
      <c r="V21" s="461"/>
      <c r="W21" s="461"/>
      <c r="X21" s="461"/>
    </row>
    <row r="22" spans="1:26" ht="15" customHeight="1">
      <c r="A22" s="430" t="s">
        <v>341</v>
      </c>
      <c r="B22" s="431"/>
      <c r="C22" s="431"/>
      <c r="D22" s="431"/>
      <c r="E22" s="431"/>
      <c r="F22" s="431"/>
      <c r="G22" s="431"/>
      <c r="H22" s="431"/>
      <c r="I22" s="431"/>
      <c r="J22" s="431"/>
      <c r="K22" s="431"/>
      <c r="L22" s="431"/>
      <c r="M22" s="431"/>
      <c r="N22" s="431"/>
      <c r="O22" s="431"/>
      <c r="P22" s="431"/>
      <c r="Q22" s="431"/>
      <c r="R22" s="432"/>
      <c r="S22" s="438" t="s">
        <v>325</v>
      </c>
      <c r="T22" s="439"/>
      <c r="U22" s="440"/>
      <c r="V22" s="443" t="str">
        <f>IF(AND(V19&lt;&gt;"",V20&lt;&gt;"",V21&lt;&gt;""),V20*V21*8760/zuzycie.energii.pozostaly*emisja.pozostaly/1000000,"")</f>
        <v/>
      </c>
      <c r="W22" s="444"/>
      <c r="X22" s="445"/>
    </row>
    <row r="23" spans="1:26" ht="15" customHeight="1">
      <c r="A23" s="27"/>
      <c r="B23" s="28"/>
      <c r="C23" s="28"/>
      <c r="D23" s="28"/>
      <c r="E23" s="28"/>
      <c r="F23" s="28"/>
    </row>
    <row r="24" spans="1:26" s="23" customFormat="1" ht="30" customHeight="1">
      <c r="A24" s="458" t="s">
        <v>342</v>
      </c>
      <c r="B24" s="458"/>
      <c r="C24" s="458"/>
      <c r="D24" s="458"/>
      <c r="E24" s="458"/>
      <c r="F24" s="458"/>
      <c r="G24" s="458"/>
      <c r="H24" s="458"/>
      <c r="I24" s="458"/>
      <c r="J24" s="458"/>
      <c r="K24" s="458"/>
      <c r="L24" s="458"/>
      <c r="M24" s="458"/>
      <c r="N24" s="458"/>
      <c r="O24" s="458"/>
      <c r="P24" s="458"/>
      <c r="Q24" s="458"/>
      <c r="R24" s="458"/>
      <c r="S24" s="458"/>
      <c r="T24" s="458"/>
      <c r="U24" s="458"/>
      <c r="V24" s="458"/>
      <c r="W24" s="458"/>
      <c r="X24" s="458"/>
      <c r="Y24" s="458"/>
      <c r="Z24" s="458"/>
    </row>
    <row r="25" spans="1:26" ht="3" customHeight="1">
      <c r="A25" s="460"/>
      <c r="B25" s="460"/>
      <c r="C25" s="460"/>
      <c r="D25" s="460"/>
      <c r="E25" s="460"/>
      <c r="F25" s="460"/>
      <c r="G25" s="460"/>
      <c r="H25" s="460"/>
      <c r="I25" s="460"/>
      <c r="J25" s="460"/>
      <c r="K25" s="460"/>
      <c r="L25" s="460"/>
      <c r="M25" s="460"/>
      <c r="N25" s="460"/>
      <c r="O25" s="460"/>
      <c r="P25" s="460"/>
      <c r="Q25" s="460"/>
      <c r="R25" s="460"/>
      <c r="S25" s="460"/>
      <c r="T25" s="460"/>
      <c r="U25" s="460"/>
      <c r="V25" s="460"/>
      <c r="W25" s="460"/>
      <c r="X25" s="460"/>
      <c r="Y25" s="460"/>
      <c r="Z25" s="460"/>
    </row>
    <row r="26" spans="1:26" ht="15" customHeight="1">
      <c r="A26" s="430" t="s">
        <v>343</v>
      </c>
      <c r="B26" s="431"/>
      <c r="C26" s="431"/>
      <c r="D26" s="431"/>
      <c r="E26" s="431"/>
      <c r="F26" s="431"/>
      <c r="G26" s="431"/>
      <c r="H26" s="431"/>
      <c r="I26" s="431"/>
      <c r="J26" s="431"/>
      <c r="K26" s="431"/>
      <c r="L26" s="431"/>
      <c r="M26" s="431"/>
      <c r="N26" s="431"/>
      <c r="O26" s="431"/>
      <c r="P26" s="431"/>
      <c r="Q26" s="431"/>
      <c r="R26" s="432"/>
      <c r="S26" s="438" t="s">
        <v>344</v>
      </c>
      <c r="T26" s="439"/>
      <c r="U26" s="440"/>
      <c r="V26" s="449"/>
      <c r="W26" s="450"/>
      <c r="X26" s="451"/>
    </row>
    <row r="27" spans="1:26" ht="30" customHeight="1">
      <c r="A27" s="446" t="s">
        <v>345</v>
      </c>
      <c r="B27" s="447"/>
      <c r="C27" s="447"/>
      <c r="D27" s="447"/>
      <c r="E27" s="447"/>
      <c r="F27" s="447"/>
      <c r="G27" s="447"/>
      <c r="H27" s="447"/>
      <c r="I27" s="447"/>
      <c r="J27" s="447"/>
      <c r="K27" s="447"/>
      <c r="L27" s="447"/>
      <c r="M27" s="447"/>
      <c r="N27" s="447"/>
      <c r="O27" s="447"/>
      <c r="P27" s="447"/>
      <c r="Q27" s="447"/>
      <c r="R27" s="448"/>
      <c r="S27" s="438" t="s">
        <v>297</v>
      </c>
      <c r="T27" s="439"/>
      <c r="U27" s="440"/>
      <c r="V27" s="449"/>
      <c r="W27" s="450"/>
      <c r="X27" s="451"/>
    </row>
    <row r="28" spans="1:26" ht="15" customHeight="1">
      <c r="A28" s="430" t="s">
        <v>339</v>
      </c>
      <c r="B28" s="431"/>
      <c r="C28" s="431"/>
      <c r="D28" s="431"/>
      <c r="E28" s="431"/>
      <c r="F28" s="431"/>
      <c r="G28" s="431"/>
      <c r="H28" s="431"/>
      <c r="I28" s="431"/>
      <c r="J28" s="431"/>
      <c r="K28" s="431"/>
      <c r="L28" s="431"/>
      <c r="M28" s="431"/>
      <c r="N28" s="431"/>
      <c r="O28" s="431"/>
      <c r="P28" s="431"/>
      <c r="Q28" s="431"/>
      <c r="R28" s="432"/>
      <c r="S28" s="438" t="s">
        <v>325</v>
      </c>
      <c r="T28" s="439"/>
      <c r="U28" s="440"/>
      <c r="V28" s="443" t="str">
        <f>IF(AND(V26&lt;&gt;"",V27&lt;&gt;""),V26*emisja.osobowy/1000000,"")</f>
        <v/>
      </c>
      <c r="W28" s="444"/>
      <c r="X28" s="445"/>
    </row>
    <row r="29" spans="1:26" ht="15" customHeight="1">
      <c r="A29" s="27"/>
      <c r="B29" s="28"/>
      <c r="C29" s="28"/>
      <c r="D29" s="28"/>
      <c r="E29" s="28"/>
      <c r="F29" s="28"/>
    </row>
    <row r="30" spans="1:26" s="23" customFormat="1" ht="30" customHeight="1">
      <c r="A30" s="458" t="s">
        <v>346</v>
      </c>
      <c r="B30" s="458"/>
      <c r="C30" s="458"/>
      <c r="D30" s="458"/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458"/>
      <c r="P30" s="458"/>
      <c r="Q30" s="458"/>
      <c r="R30" s="458"/>
      <c r="S30" s="458"/>
      <c r="T30" s="458"/>
      <c r="U30" s="458"/>
      <c r="V30" s="458"/>
      <c r="W30" s="458"/>
      <c r="X30" s="458"/>
      <c r="Y30" s="458"/>
      <c r="Z30" s="458"/>
    </row>
    <row r="31" spans="1:26" ht="15" customHeight="1">
      <c r="A31" s="430" t="s">
        <v>343</v>
      </c>
      <c r="B31" s="431"/>
      <c r="C31" s="431"/>
      <c r="D31" s="431"/>
      <c r="E31" s="431"/>
      <c r="F31" s="431"/>
      <c r="G31" s="431"/>
      <c r="H31" s="431"/>
      <c r="I31" s="431"/>
      <c r="J31" s="431"/>
      <c r="K31" s="431"/>
      <c r="L31" s="431"/>
      <c r="M31" s="431"/>
      <c r="N31" s="431"/>
      <c r="O31" s="431"/>
      <c r="P31" s="431"/>
      <c r="Q31" s="431"/>
      <c r="R31" s="432"/>
      <c r="S31" s="438" t="s">
        <v>344</v>
      </c>
      <c r="T31" s="439"/>
      <c r="U31" s="440"/>
      <c r="V31" s="449"/>
      <c r="W31" s="450"/>
      <c r="X31" s="451"/>
    </row>
    <row r="32" spans="1:26" ht="30" customHeight="1">
      <c r="A32" s="446" t="s">
        <v>347</v>
      </c>
      <c r="B32" s="447"/>
      <c r="C32" s="447"/>
      <c r="D32" s="447"/>
      <c r="E32" s="447"/>
      <c r="F32" s="447"/>
      <c r="G32" s="447"/>
      <c r="H32" s="447"/>
      <c r="I32" s="447"/>
      <c r="J32" s="447"/>
      <c r="K32" s="447"/>
      <c r="L32" s="447"/>
      <c r="M32" s="447"/>
      <c r="N32" s="447"/>
      <c r="O32" s="447"/>
      <c r="P32" s="447"/>
      <c r="Q32" s="447"/>
      <c r="R32" s="448"/>
      <c r="S32" s="438" t="s">
        <v>297</v>
      </c>
      <c r="T32" s="439"/>
      <c r="U32" s="440"/>
      <c r="V32" s="449"/>
      <c r="W32" s="450"/>
      <c r="X32" s="451"/>
    </row>
    <row r="33" spans="1:26" ht="15" customHeight="1">
      <c r="A33" s="430" t="s">
        <v>341</v>
      </c>
      <c r="B33" s="431"/>
      <c r="C33" s="431"/>
      <c r="D33" s="431"/>
      <c r="E33" s="431"/>
      <c r="F33" s="431"/>
      <c r="G33" s="431"/>
      <c r="H33" s="431"/>
      <c r="I33" s="431"/>
      <c r="J33" s="431"/>
      <c r="K33" s="431"/>
      <c r="L33" s="431"/>
      <c r="M33" s="431"/>
      <c r="N33" s="431"/>
      <c r="O33" s="431"/>
      <c r="P33" s="431"/>
      <c r="Q33" s="431"/>
      <c r="R33" s="432"/>
      <c r="S33" s="438" t="s">
        <v>325</v>
      </c>
      <c r="T33" s="439"/>
      <c r="U33" s="440"/>
      <c r="V33" s="443" t="str">
        <f>IF(AND(V31&lt;&gt;"",V32&lt;&gt;""),V31*emisja.pozostaly/1000000,"")</f>
        <v/>
      </c>
      <c r="W33" s="444"/>
      <c r="X33" s="445"/>
    </row>
    <row r="34" spans="1:26" ht="1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30"/>
      <c r="R34" s="23"/>
      <c r="S34" s="23"/>
      <c r="T34" s="23"/>
      <c r="U34" s="23"/>
      <c r="V34" s="23"/>
      <c r="W34" s="23"/>
      <c r="X34" s="23"/>
      <c r="Y34" s="23"/>
    </row>
    <row r="35" spans="1:26" ht="15" customHeight="1">
      <c r="A35" s="22" t="s">
        <v>348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3" customHeight="1">
      <c r="A36" s="460"/>
      <c r="B36" s="460"/>
      <c r="C36" s="460"/>
      <c r="D36" s="460"/>
      <c r="E36" s="460"/>
      <c r="F36" s="460"/>
      <c r="G36" s="460"/>
      <c r="H36" s="460"/>
      <c r="I36" s="460"/>
      <c r="J36" s="460"/>
      <c r="K36" s="460"/>
      <c r="L36" s="460"/>
      <c r="M36" s="460"/>
      <c r="N36" s="460"/>
      <c r="O36" s="460"/>
      <c r="P36" s="460"/>
      <c r="Q36" s="460"/>
      <c r="R36" s="460"/>
      <c r="S36" s="460"/>
      <c r="T36" s="460"/>
      <c r="U36" s="460"/>
      <c r="V36" s="460"/>
      <c r="W36" s="460"/>
      <c r="X36" s="460"/>
      <c r="Y36" s="460"/>
      <c r="Z36" s="460"/>
    </row>
    <row r="37" spans="1:26" ht="15" customHeight="1">
      <c r="A37" s="430" t="s">
        <v>349</v>
      </c>
      <c r="B37" s="431"/>
      <c r="C37" s="431"/>
      <c r="D37" s="431"/>
      <c r="E37" s="431"/>
      <c r="F37" s="431"/>
      <c r="G37" s="431"/>
      <c r="H37" s="431"/>
      <c r="I37" s="431"/>
      <c r="J37" s="431"/>
      <c r="K37" s="431"/>
      <c r="L37" s="431"/>
      <c r="M37" s="431"/>
      <c r="N37" s="431"/>
      <c r="O37" s="431"/>
      <c r="P37" s="431"/>
      <c r="Q37" s="431"/>
      <c r="R37" s="432"/>
      <c r="S37" s="438" t="s">
        <v>325</v>
      </c>
      <c r="T37" s="439"/>
      <c r="U37" s="440"/>
      <c r="V37" s="443" t="str">
        <f>IF(OR(V15&lt;&gt;"",V22&lt;&gt;"",V28&lt;&gt;"",V33&lt;&gt;""),MAX(V15,V28)+MAX(V22,V33),"")</f>
        <v/>
      </c>
      <c r="W37" s="444"/>
      <c r="X37" s="445"/>
      <c r="Y37" s="23"/>
    </row>
    <row r="38" spans="1:26" ht="15" customHeight="1">
      <c r="A38" s="207"/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8"/>
      <c r="T38" s="208"/>
      <c r="U38" s="208"/>
      <c r="V38" s="209"/>
      <c r="W38" s="209"/>
      <c r="X38" s="209"/>
      <c r="Y38" s="23"/>
    </row>
    <row r="39" spans="1:26" ht="105" customHeight="1"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6">
      <c r="A40" s="441"/>
      <c r="B40" s="441"/>
      <c r="C40" s="441"/>
      <c r="D40" s="441"/>
      <c r="E40" s="441"/>
      <c r="F40" s="441"/>
      <c r="G40" s="441"/>
      <c r="H40" s="441"/>
      <c r="I40" s="23" t="str">
        <f ca="1">CONCATENATE(", dnia ",TEXT(TODAY(),"dd.mm.rrrr")," r.")</f>
        <v>, dnia 11.01.2023 r.</v>
      </c>
      <c r="J40" s="23"/>
      <c r="K40" s="23"/>
      <c r="L40" s="23"/>
      <c r="M40" s="23"/>
      <c r="N40" s="23"/>
      <c r="O40" s="442" t="s">
        <v>330</v>
      </c>
      <c r="P40" s="442"/>
      <c r="Q40" s="442"/>
      <c r="R40" s="442"/>
      <c r="S40" s="442"/>
      <c r="T40" s="442"/>
      <c r="U40" s="442"/>
      <c r="V40" s="442"/>
      <c r="W40" s="442"/>
      <c r="X40" s="442"/>
      <c r="Y40" s="442"/>
      <c r="Z40" s="442"/>
    </row>
    <row r="41" spans="1:26" ht="24" customHeight="1">
      <c r="A41" s="23"/>
      <c r="B41" s="23"/>
      <c r="C41" s="23"/>
      <c r="D41" s="23"/>
      <c r="E41" s="23"/>
      <c r="F41" s="23"/>
      <c r="H41" s="31" t="s">
        <v>331</v>
      </c>
      <c r="I41" s="32" t="s">
        <v>332</v>
      </c>
      <c r="J41" s="23"/>
      <c r="K41" s="23"/>
      <c r="L41" s="23"/>
      <c r="M41" s="23"/>
      <c r="N41" s="33"/>
      <c r="O41" s="429" t="s">
        <v>333</v>
      </c>
      <c r="P41" s="429"/>
      <c r="Q41" s="429"/>
      <c r="R41" s="429"/>
      <c r="S41" s="429"/>
      <c r="T41" s="429"/>
      <c r="U41" s="429"/>
      <c r="V41" s="429"/>
      <c r="W41" s="429"/>
      <c r="X41" s="429"/>
      <c r="Y41" s="429"/>
      <c r="Z41" s="429"/>
    </row>
    <row r="42" spans="1:26" ht="3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3"/>
    </row>
    <row r="43" spans="1:26" ht="24" customHeight="1">
      <c r="A43" s="452" t="s">
        <v>394</v>
      </c>
      <c r="B43" s="459"/>
      <c r="C43" s="459"/>
      <c r="D43" s="459"/>
      <c r="E43" s="459"/>
      <c r="F43" s="459"/>
      <c r="G43" s="459"/>
      <c r="H43" s="459"/>
      <c r="I43" s="459"/>
      <c r="J43" s="459"/>
      <c r="K43" s="459"/>
      <c r="L43" s="459"/>
      <c r="M43" s="459"/>
      <c r="N43" s="459"/>
      <c r="O43" s="459"/>
      <c r="P43" s="459"/>
      <c r="Q43" s="459"/>
      <c r="R43" s="459"/>
      <c r="S43" s="459"/>
      <c r="T43" s="459"/>
      <c r="U43" s="459"/>
      <c r="V43" s="459"/>
      <c r="W43" s="459"/>
      <c r="X43" s="459"/>
      <c r="Y43" s="459"/>
      <c r="Z43" s="459"/>
    </row>
    <row r="44" spans="1:26">
      <c r="A44" s="33"/>
    </row>
    <row r="45" spans="1:26" ht="1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55" spans="2:3" ht="15" customHeight="1"/>
    <row r="61" spans="2:3" ht="15">
      <c r="B61" s="34"/>
      <c r="C61" s="34"/>
    </row>
    <row r="62" spans="2:3" ht="15">
      <c r="B62" s="34"/>
      <c r="C62" s="34"/>
    </row>
    <row r="63" spans="2:3" ht="15">
      <c r="B63" s="34"/>
      <c r="C63" s="34"/>
    </row>
  </sheetData>
  <sheetProtection algorithmName="SHA-512" hashValue="U9xnF5OuYllVXowB6gREDby2Oa3cqm5bIx/dmJww2ufjass67/O4pzPIGOH1+Vnpxf6YhHHc56VtXFpdnKBsyA==" saltValue="3C2yYFh6Ld734nQbq9WUdw==" spinCount="100000" sheet="1" formatRows="0"/>
  <mergeCells count="63">
    <mergeCell ref="A13:R13"/>
    <mergeCell ref="S13:U13"/>
    <mergeCell ref="V13:X13"/>
    <mergeCell ref="A1:Z1"/>
    <mergeCell ref="A2:Z2"/>
    <mergeCell ref="A3:Z3"/>
    <mergeCell ref="A5:Z5"/>
    <mergeCell ref="A7:Z7"/>
    <mergeCell ref="A8:Z8"/>
    <mergeCell ref="A10:Z10"/>
    <mergeCell ref="A11:Z11"/>
    <mergeCell ref="A12:R12"/>
    <mergeCell ref="S12:U12"/>
    <mergeCell ref="V12:X12"/>
    <mergeCell ref="A20:R20"/>
    <mergeCell ref="S20:U20"/>
    <mergeCell ref="V20:X20"/>
    <mergeCell ref="A14:R14"/>
    <mergeCell ref="S14:U14"/>
    <mergeCell ref="V14:X14"/>
    <mergeCell ref="A15:R15"/>
    <mergeCell ref="S15:U15"/>
    <mergeCell ref="V15:X15"/>
    <mergeCell ref="A17:Z17"/>
    <mergeCell ref="A18:Z18"/>
    <mergeCell ref="A19:R19"/>
    <mergeCell ref="S19:U19"/>
    <mergeCell ref="V19:X19"/>
    <mergeCell ref="A27:R27"/>
    <mergeCell ref="S27:U27"/>
    <mergeCell ref="V27:X27"/>
    <mergeCell ref="A21:R21"/>
    <mergeCell ref="S21:U21"/>
    <mergeCell ref="V21:X21"/>
    <mergeCell ref="A22:R22"/>
    <mergeCell ref="S22:U22"/>
    <mergeCell ref="V22:X22"/>
    <mergeCell ref="A24:Z24"/>
    <mergeCell ref="A25:Z25"/>
    <mergeCell ref="A26:R26"/>
    <mergeCell ref="S26:U26"/>
    <mergeCell ref="V26:X26"/>
    <mergeCell ref="A28:R28"/>
    <mergeCell ref="S28:U28"/>
    <mergeCell ref="V28:X28"/>
    <mergeCell ref="A30:Z30"/>
    <mergeCell ref="A31:R31"/>
    <mergeCell ref="S31:U31"/>
    <mergeCell ref="V31:X31"/>
    <mergeCell ref="A32:R32"/>
    <mergeCell ref="S32:U32"/>
    <mergeCell ref="V32:X32"/>
    <mergeCell ref="A33:R33"/>
    <mergeCell ref="S33:U33"/>
    <mergeCell ref="V33:X33"/>
    <mergeCell ref="A43:Z43"/>
    <mergeCell ref="O41:Z41"/>
    <mergeCell ref="A36:Z36"/>
    <mergeCell ref="A37:R37"/>
    <mergeCell ref="S37:U37"/>
    <mergeCell ref="V37:X37"/>
    <mergeCell ref="A40:H40"/>
    <mergeCell ref="O40:Z40"/>
  </mergeCells>
  <conditionalFormatting sqref="A7:Z7">
    <cfRule type="cellIs" dxfId="5" priority="6" operator="equal">
      <formula>""</formula>
    </cfRule>
  </conditionalFormatting>
  <conditionalFormatting sqref="V12:X14">
    <cfRule type="cellIs" dxfId="4" priority="5" operator="equal">
      <formula>""</formula>
    </cfRule>
  </conditionalFormatting>
  <conditionalFormatting sqref="A40">
    <cfRule type="cellIs" dxfId="3" priority="4" operator="equal">
      <formula>""</formula>
    </cfRule>
  </conditionalFormatting>
  <conditionalFormatting sqref="V19:X21">
    <cfRule type="cellIs" dxfId="2" priority="3" operator="equal">
      <formula>""</formula>
    </cfRule>
  </conditionalFormatting>
  <conditionalFormatting sqref="V26:X27">
    <cfRule type="cellIs" dxfId="1" priority="2" operator="equal">
      <formula>""</formula>
    </cfRule>
  </conditionalFormatting>
  <conditionalFormatting sqref="V31:X32">
    <cfRule type="cellIs" dxfId="0" priority="1" operator="equal">
      <formula>""</formula>
    </cfRule>
  </conditionalFormatting>
  <pageMargins left="0.7" right="0.7" top="0.75" bottom="0.75" header="0.3" footer="0.3"/>
  <pageSetup paperSize="9" scale="97" orientation="portrait" r:id="rId1"/>
  <headerFooter>
    <oddFooter>&amp;C&amp;"Arial,Normalny"&amp;8Strona &amp;P z &amp;N&amp;R&amp;"Arial,Normalny"&amp;8v2023-1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/>
  <dimension ref="B3:Y84"/>
  <sheetViews>
    <sheetView zoomScaleNormal="100" workbookViewId="0">
      <selection activeCell="A7" sqref="A7:Z7"/>
    </sheetView>
  </sheetViews>
  <sheetFormatPr defaultColWidth="9" defaultRowHeight="14.25"/>
  <cols>
    <col min="1" max="20" width="9" style="1"/>
    <col min="21" max="21" width="18.625" style="1" customWidth="1"/>
    <col min="22" max="16384" width="9" style="1"/>
  </cols>
  <sheetData>
    <row r="3" spans="2:25">
      <c r="B3" s="4"/>
      <c r="C3" s="4"/>
      <c r="D3" s="4"/>
      <c r="E3" s="4"/>
      <c r="F3" s="4"/>
      <c r="G3" s="4"/>
      <c r="H3" s="4"/>
      <c r="I3" s="465"/>
      <c r="J3" s="465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 ht="15">
      <c r="B4" s="4"/>
      <c r="C4" s="4"/>
      <c r="D4" s="4"/>
      <c r="E4" s="4"/>
      <c r="F4" s="4"/>
      <c r="G4" s="4"/>
      <c r="H4" s="4"/>
      <c r="I4" s="5"/>
      <c r="J4" s="5"/>
      <c r="K4" s="4"/>
      <c r="M4" s="4"/>
      <c r="N4" s="4"/>
      <c r="O4" s="4"/>
      <c r="P4" s="4"/>
      <c r="Q4" s="4"/>
      <c r="R4" s="4"/>
      <c r="S4" s="4"/>
      <c r="T4" s="4"/>
      <c r="U4" s="4"/>
      <c r="V4" s="4" t="s">
        <v>202</v>
      </c>
      <c r="W4" s="4" t="s">
        <v>202</v>
      </c>
      <c r="X4" s="4" t="s">
        <v>203</v>
      </c>
      <c r="Y4" s="4"/>
    </row>
    <row r="5" spans="2:25" ht="16.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1" t="s">
        <v>80</v>
      </c>
      <c r="W5" s="1" t="s">
        <v>208</v>
      </c>
      <c r="X5" s="1" t="s">
        <v>76</v>
      </c>
      <c r="Y5" s="4"/>
    </row>
    <row r="6" spans="2:25">
      <c r="B6" s="2"/>
      <c r="C6" s="3"/>
      <c r="E6" s="4"/>
      <c r="F6" s="1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>
        <v>100</v>
      </c>
      <c r="U6" s="4" t="s">
        <v>122</v>
      </c>
      <c r="V6" s="202">
        <v>0</v>
      </c>
      <c r="W6" s="202">
        <v>0</v>
      </c>
      <c r="X6" s="202">
        <v>0</v>
      </c>
      <c r="Y6" s="4"/>
    </row>
    <row r="7" spans="2:25">
      <c r="B7" s="2"/>
      <c r="C7" s="3"/>
      <c r="E7" s="4"/>
      <c r="F7" s="15"/>
      <c r="G7" s="4"/>
      <c r="H7" s="4"/>
      <c r="I7" s="14"/>
      <c r="J7" s="16"/>
      <c r="K7" s="4"/>
      <c r="L7" s="17"/>
      <c r="M7" s="4"/>
      <c r="N7" s="17"/>
      <c r="O7" s="4"/>
      <c r="P7" s="14"/>
      <c r="Q7" s="4"/>
      <c r="R7" s="4"/>
      <c r="S7" s="4"/>
      <c r="T7" s="7">
        <v>101</v>
      </c>
      <c r="U7" s="6" t="s">
        <v>50</v>
      </c>
      <c r="V7" s="203">
        <v>21.72</v>
      </c>
      <c r="W7" s="203">
        <v>0</v>
      </c>
      <c r="X7" s="203">
        <v>93.54</v>
      </c>
      <c r="Y7" s="4"/>
    </row>
    <row r="8" spans="2:25">
      <c r="B8" s="2"/>
      <c r="C8" s="3"/>
      <c r="E8" s="4"/>
      <c r="F8" s="4"/>
      <c r="G8" s="4"/>
      <c r="H8" s="4"/>
      <c r="I8" s="14"/>
      <c r="J8" s="16"/>
      <c r="K8" s="4"/>
      <c r="L8" s="17"/>
      <c r="M8" s="4"/>
      <c r="N8" s="17"/>
      <c r="O8" s="4"/>
      <c r="P8" s="14"/>
      <c r="Q8" s="4"/>
      <c r="R8" s="4"/>
      <c r="S8" s="4"/>
      <c r="T8" s="7">
        <v>102</v>
      </c>
      <c r="U8" s="6" t="s">
        <v>49</v>
      </c>
      <c r="V8" s="203">
        <v>7.94</v>
      </c>
      <c r="W8" s="203">
        <v>0</v>
      </c>
      <c r="X8" s="203">
        <v>111.53</v>
      </c>
      <c r="Y8" s="4"/>
    </row>
    <row r="9" spans="2:25">
      <c r="B9" s="2"/>
      <c r="C9" s="3"/>
      <c r="E9" s="4"/>
      <c r="F9" s="4"/>
      <c r="G9" s="4"/>
      <c r="H9" s="4"/>
      <c r="I9" s="14"/>
      <c r="J9" s="16"/>
      <c r="K9" s="4"/>
      <c r="L9" s="17"/>
      <c r="M9" s="4"/>
      <c r="N9" s="17"/>
      <c r="O9" s="4"/>
      <c r="P9" s="14"/>
      <c r="Q9" s="4"/>
      <c r="R9" s="4"/>
      <c r="S9" s="4"/>
      <c r="T9" s="7">
        <v>201</v>
      </c>
      <c r="U9" s="6" t="s">
        <v>50</v>
      </c>
      <c r="V9" s="203">
        <v>24.99</v>
      </c>
      <c r="W9" s="203">
        <v>0</v>
      </c>
      <c r="X9" s="203">
        <v>94.23</v>
      </c>
      <c r="Y9" s="4"/>
    </row>
    <row r="10" spans="2:25">
      <c r="B10" s="2"/>
      <c r="C10" s="3"/>
      <c r="E10" s="4"/>
      <c r="F10" s="4"/>
      <c r="G10" s="4"/>
      <c r="H10" s="4"/>
      <c r="I10" s="14"/>
      <c r="J10" s="16"/>
      <c r="K10" s="4"/>
      <c r="L10" s="17"/>
      <c r="M10" s="4"/>
      <c r="N10" s="17"/>
      <c r="O10" s="4"/>
      <c r="P10" s="14"/>
      <c r="Q10" s="4"/>
      <c r="R10" s="4"/>
      <c r="S10" s="4"/>
      <c r="T10" s="7">
        <v>301</v>
      </c>
      <c r="U10" s="6" t="s">
        <v>50</v>
      </c>
      <c r="V10" s="203">
        <v>22.28</v>
      </c>
      <c r="W10" s="203">
        <v>0</v>
      </c>
      <c r="X10" s="203">
        <v>94.81</v>
      </c>
      <c r="Y10" s="4"/>
    </row>
    <row r="11" spans="2:25">
      <c r="B11" s="2"/>
      <c r="C11" s="3"/>
      <c r="E11" s="4"/>
      <c r="F11" s="4"/>
      <c r="G11" s="4"/>
      <c r="H11" s="4"/>
      <c r="I11" s="14"/>
      <c r="J11" s="16"/>
      <c r="K11" s="4"/>
      <c r="L11" s="17"/>
      <c r="M11" s="4"/>
      <c r="N11" s="17"/>
      <c r="O11" s="4"/>
      <c r="P11" s="14"/>
      <c r="Q11" s="4"/>
      <c r="R11" s="4"/>
      <c r="S11" s="4"/>
      <c r="T11" s="7">
        <v>302</v>
      </c>
      <c r="U11" s="6" t="s">
        <v>49</v>
      </c>
      <c r="V11" s="203">
        <v>8.0399999999999991</v>
      </c>
      <c r="W11" s="203">
        <v>0</v>
      </c>
      <c r="X11" s="203">
        <v>111.19</v>
      </c>
      <c r="Y11" s="4"/>
    </row>
    <row r="12" spans="2:25">
      <c r="B12" s="2"/>
      <c r="C12" s="3"/>
      <c r="E12" s="4"/>
      <c r="F12" s="4"/>
      <c r="G12" s="4"/>
      <c r="H12" s="4"/>
      <c r="I12" s="14"/>
      <c r="J12" s="16"/>
      <c r="K12" s="4"/>
      <c r="L12" s="17"/>
      <c r="M12" s="4"/>
      <c r="N12" s="17"/>
      <c r="O12" s="4"/>
      <c r="P12" s="14"/>
      <c r="Q12" s="4"/>
      <c r="R12" s="4"/>
      <c r="S12" s="4"/>
      <c r="T12" s="7">
        <v>401</v>
      </c>
      <c r="U12" s="6" t="s">
        <v>50</v>
      </c>
      <c r="V12" s="203">
        <v>29.6</v>
      </c>
      <c r="W12" s="203">
        <v>0</v>
      </c>
      <c r="X12" s="203">
        <v>93.49</v>
      </c>
      <c r="Y12" s="4"/>
    </row>
    <row r="13" spans="2:25">
      <c r="B13" s="4"/>
      <c r="C13" s="4"/>
      <c r="D13" s="4"/>
      <c r="E13" s="4"/>
      <c r="F13" s="4"/>
      <c r="G13" s="4"/>
      <c r="H13" s="4"/>
      <c r="I13" s="14"/>
      <c r="J13" s="16"/>
      <c r="K13" s="4"/>
      <c r="L13" s="17"/>
      <c r="M13" s="4"/>
      <c r="N13" s="17"/>
      <c r="O13" s="4"/>
      <c r="P13" s="14"/>
      <c r="Q13" s="4"/>
      <c r="R13" s="4"/>
      <c r="S13" s="4"/>
      <c r="T13" s="7">
        <v>501</v>
      </c>
      <c r="U13" s="6" t="s">
        <v>50</v>
      </c>
      <c r="V13" s="203">
        <v>27.62</v>
      </c>
      <c r="W13" s="203">
        <v>0</v>
      </c>
      <c r="X13" s="203">
        <v>93.78</v>
      </c>
      <c r="Y13" s="4"/>
    </row>
    <row r="14" spans="2:25">
      <c r="B14" s="4"/>
      <c r="C14" s="4"/>
      <c r="D14" s="4"/>
      <c r="E14" s="4"/>
      <c r="F14" s="4"/>
      <c r="G14" s="4"/>
      <c r="H14" s="4"/>
      <c r="I14" s="14"/>
      <c r="J14" s="16"/>
      <c r="K14" s="4"/>
      <c r="L14" s="17"/>
      <c r="M14" s="4"/>
      <c r="N14" s="17"/>
      <c r="O14" s="4"/>
      <c r="P14" s="14"/>
      <c r="Q14" s="4"/>
      <c r="R14" s="4"/>
      <c r="S14" s="4"/>
      <c r="T14" s="7">
        <v>601</v>
      </c>
      <c r="U14" s="6" t="s">
        <v>50</v>
      </c>
      <c r="V14" s="203">
        <v>22.86</v>
      </c>
      <c r="W14" s="203">
        <v>0</v>
      </c>
      <c r="X14" s="203">
        <v>94.68</v>
      </c>
      <c r="Y14" s="4"/>
    </row>
    <row r="15" spans="2:25" ht="26.25" customHeight="1">
      <c r="C15" s="466"/>
      <c r="D15" s="466"/>
      <c r="E15" s="466"/>
      <c r="H15" s="4"/>
      <c r="I15" s="14"/>
      <c r="J15" s="16"/>
      <c r="K15" s="4"/>
      <c r="L15" s="17"/>
      <c r="M15" s="4"/>
      <c r="N15" s="17"/>
      <c r="O15" s="4"/>
      <c r="P15" s="14"/>
      <c r="Q15" s="4"/>
      <c r="R15" s="4"/>
      <c r="S15" s="4"/>
      <c r="T15" s="7">
        <v>701</v>
      </c>
      <c r="U15" s="6" t="s">
        <v>50</v>
      </c>
      <c r="V15" s="203">
        <v>21.84</v>
      </c>
      <c r="W15" s="203">
        <v>0</v>
      </c>
      <c r="X15" s="203">
        <v>94.92</v>
      </c>
      <c r="Y15" s="4"/>
    </row>
    <row r="16" spans="2:25" ht="28.5" customHeight="1">
      <c r="C16" s="466"/>
      <c r="D16" s="466"/>
      <c r="E16" s="466"/>
      <c r="H16" s="4"/>
      <c r="I16" s="14"/>
      <c r="J16" s="16"/>
      <c r="K16" s="4"/>
      <c r="L16" s="17"/>
      <c r="M16" s="4"/>
      <c r="N16" s="17"/>
      <c r="O16" s="4"/>
      <c r="P16" s="14"/>
      <c r="Q16" s="4"/>
      <c r="R16" s="4"/>
      <c r="S16" s="4"/>
      <c r="T16" s="7">
        <v>801</v>
      </c>
      <c r="U16" s="6" t="s">
        <v>50</v>
      </c>
      <c r="V16" s="203">
        <v>22.99</v>
      </c>
      <c r="W16" s="203">
        <v>0</v>
      </c>
      <c r="X16" s="203">
        <v>94.65</v>
      </c>
      <c r="Y16" s="4"/>
    </row>
    <row r="17" spans="2:25">
      <c r="B17" s="4"/>
      <c r="C17" s="4"/>
      <c r="D17" s="4"/>
      <c r="E17" s="4"/>
      <c r="F17" s="4"/>
      <c r="G17" s="4"/>
      <c r="H17" s="4"/>
      <c r="I17" s="14"/>
      <c r="J17" s="16"/>
      <c r="K17" s="4"/>
      <c r="L17" s="17"/>
      <c r="M17" s="4"/>
      <c r="N17" s="17"/>
      <c r="O17" s="4"/>
      <c r="P17" s="14"/>
      <c r="Q17" s="4"/>
      <c r="R17" s="4"/>
      <c r="S17" s="4"/>
      <c r="T17" s="7">
        <v>901</v>
      </c>
      <c r="U17" s="6" t="s">
        <v>50</v>
      </c>
      <c r="V17" s="203">
        <v>23.64</v>
      </c>
      <c r="W17" s="203">
        <v>0</v>
      </c>
      <c r="X17" s="203">
        <v>94.5</v>
      </c>
      <c r="Y17" s="4"/>
    </row>
    <row r="18" spans="2:25">
      <c r="B18" s="4"/>
      <c r="C18" s="4"/>
      <c r="D18" s="4"/>
      <c r="E18" s="4"/>
      <c r="F18" s="4"/>
      <c r="G18" s="4"/>
      <c r="H18" s="4"/>
      <c r="I18" s="14"/>
      <c r="J18" s="16"/>
      <c r="K18" s="4"/>
      <c r="L18" s="17"/>
      <c r="M18" s="4"/>
      <c r="N18" s="17"/>
      <c r="O18" s="4"/>
      <c r="P18" s="14"/>
      <c r="Q18" s="4"/>
      <c r="R18" s="4"/>
      <c r="S18" s="4"/>
      <c r="T18" s="7">
        <v>1001</v>
      </c>
      <c r="U18" s="6" t="s">
        <v>50</v>
      </c>
      <c r="V18" s="203">
        <v>25.26</v>
      </c>
      <c r="W18" s="203">
        <v>0</v>
      </c>
      <c r="X18" s="203">
        <v>94.18</v>
      </c>
      <c r="Y18" s="4"/>
    </row>
    <row r="19" spans="2:25">
      <c r="B19" s="4"/>
      <c r="C19" s="4"/>
      <c r="D19" s="4"/>
      <c r="E19" s="4"/>
      <c r="F19" s="4"/>
      <c r="G19" s="4"/>
      <c r="H19" s="4"/>
      <c r="I19" s="14"/>
      <c r="J19" s="16"/>
      <c r="K19" s="4"/>
      <c r="L19" s="17"/>
      <c r="M19" s="4"/>
      <c r="N19" s="17"/>
      <c r="O19" s="4"/>
      <c r="P19" s="14"/>
      <c r="Q19" s="4"/>
      <c r="R19" s="4"/>
      <c r="S19" s="4"/>
      <c r="T19" s="7">
        <v>1002</v>
      </c>
      <c r="U19" s="6" t="s">
        <v>49</v>
      </c>
      <c r="V19" s="203">
        <v>13.75</v>
      </c>
      <c r="W19" s="203">
        <v>0</v>
      </c>
      <c r="X19" s="203">
        <v>93.77</v>
      </c>
      <c r="Y19" s="4"/>
    </row>
    <row r="20" spans="2:25">
      <c r="B20" s="4"/>
      <c r="C20" s="4"/>
      <c r="D20" s="4"/>
      <c r="E20" s="4"/>
      <c r="F20" s="4"/>
      <c r="G20" s="4"/>
      <c r="H20" s="4"/>
      <c r="I20" s="14"/>
      <c r="J20" s="16"/>
      <c r="K20" s="4"/>
      <c r="L20" s="17"/>
      <c r="M20" s="4"/>
      <c r="N20" s="17"/>
      <c r="O20" s="4"/>
      <c r="P20" s="14"/>
      <c r="Q20" s="4"/>
      <c r="R20" s="4"/>
      <c r="S20" s="4"/>
      <c r="T20" s="7">
        <v>1101</v>
      </c>
      <c r="U20" s="6" t="s">
        <v>50</v>
      </c>
      <c r="V20" s="203">
        <v>23.55</v>
      </c>
      <c r="W20" s="203">
        <v>0</v>
      </c>
      <c r="X20" s="203">
        <v>94.52</v>
      </c>
      <c r="Y20" s="4"/>
    </row>
    <row r="21" spans="2:25" ht="15">
      <c r="B21" s="4"/>
      <c r="C21" s="5"/>
      <c r="D21" s="4"/>
      <c r="E21" s="5"/>
      <c r="F21" s="4"/>
      <c r="G21" s="4"/>
      <c r="H21" s="4"/>
      <c r="I21" s="14"/>
      <c r="J21" s="16"/>
      <c r="K21" s="4"/>
      <c r="L21" s="17"/>
      <c r="M21" s="4"/>
      <c r="N21" s="17"/>
      <c r="O21" s="4"/>
      <c r="P21" s="14"/>
      <c r="Q21" s="4"/>
      <c r="R21" s="4"/>
      <c r="S21" s="4"/>
      <c r="T21" s="7">
        <v>1102</v>
      </c>
      <c r="U21" s="6" t="s">
        <v>49</v>
      </c>
      <c r="V21" s="203">
        <v>11.31</v>
      </c>
      <c r="W21" s="203">
        <v>0</v>
      </c>
      <c r="X21" s="203">
        <v>99.06</v>
      </c>
      <c r="Y21" s="4"/>
    </row>
    <row r="22" spans="2: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14"/>
      <c r="Q22" s="4"/>
      <c r="R22" s="4"/>
      <c r="S22" s="4"/>
      <c r="T22" s="7">
        <v>1201</v>
      </c>
      <c r="U22" s="6" t="s">
        <v>50</v>
      </c>
      <c r="V22" s="203">
        <v>24.88</v>
      </c>
      <c r="W22" s="203">
        <v>0</v>
      </c>
      <c r="X22" s="203">
        <v>94.25</v>
      </c>
      <c r="Y22" s="4"/>
    </row>
    <row r="23" spans="2:25" ht="15">
      <c r="B23" s="4"/>
      <c r="C23" s="4"/>
      <c r="D23" s="4"/>
      <c r="E23" s="4"/>
      <c r="F23" s="4"/>
      <c r="G23" s="4"/>
      <c r="H23" s="4"/>
      <c r="I23" s="5"/>
      <c r="J23" s="4"/>
      <c r="K23" s="5"/>
      <c r="L23" s="4"/>
      <c r="M23" s="4"/>
      <c r="N23" s="4"/>
      <c r="O23" s="4"/>
      <c r="P23" s="14"/>
      <c r="Q23" s="4"/>
      <c r="R23" s="4"/>
      <c r="S23" s="4"/>
      <c r="T23" s="7">
        <v>1202</v>
      </c>
      <c r="U23" s="6" t="s">
        <v>49</v>
      </c>
      <c r="V23" s="203">
        <v>8</v>
      </c>
      <c r="W23" s="203">
        <v>0</v>
      </c>
      <c r="X23" s="203">
        <v>111.41</v>
      </c>
      <c r="Y23" s="4"/>
    </row>
    <row r="24" spans="2: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14"/>
      <c r="Q24" s="4"/>
      <c r="R24" s="4"/>
      <c r="S24" s="4"/>
      <c r="T24" s="7">
        <v>1301</v>
      </c>
      <c r="U24" s="6" t="s">
        <v>50</v>
      </c>
      <c r="V24" s="204">
        <v>24.99</v>
      </c>
      <c r="W24" s="204">
        <v>0</v>
      </c>
      <c r="X24" s="204">
        <v>94.23</v>
      </c>
      <c r="Y24" s="4"/>
    </row>
    <row r="25" spans="2:25">
      <c r="B25" s="4"/>
      <c r="C25" s="4"/>
      <c r="D25" s="4"/>
      <c r="E25" s="4"/>
      <c r="F25" s="4"/>
      <c r="G25" s="4"/>
      <c r="I25" s="4"/>
      <c r="J25" s="4"/>
      <c r="K25" s="4"/>
      <c r="L25" s="4"/>
      <c r="M25" s="4"/>
      <c r="N25" s="4"/>
      <c r="O25" s="4"/>
      <c r="P25" s="14"/>
      <c r="Q25" s="4"/>
      <c r="R25" s="4"/>
      <c r="S25" s="4"/>
      <c r="T25" s="7">
        <v>1302</v>
      </c>
      <c r="U25" s="6" t="s">
        <v>49</v>
      </c>
      <c r="V25" s="204">
        <v>8</v>
      </c>
      <c r="W25" s="204">
        <v>0</v>
      </c>
      <c r="X25" s="204">
        <v>111.41</v>
      </c>
      <c r="Y25" s="4"/>
    </row>
    <row r="26" spans="2:25">
      <c r="B26" s="4"/>
      <c r="C26" s="4"/>
      <c r="D26" s="4"/>
      <c r="E26" s="4"/>
      <c r="F26" s="4"/>
      <c r="G26" s="4"/>
      <c r="I26" s="4"/>
      <c r="J26" s="4"/>
      <c r="K26" s="4"/>
      <c r="L26" s="4"/>
      <c r="M26" s="4"/>
      <c r="N26" s="4"/>
      <c r="O26" s="4"/>
      <c r="P26" s="14"/>
      <c r="Q26" s="4"/>
      <c r="R26" s="4"/>
      <c r="S26" s="4"/>
      <c r="T26" s="7">
        <v>1401</v>
      </c>
      <c r="U26" s="6" t="s">
        <v>78</v>
      </c>
      <c r="V26" s="203">
        <v>48</v>
      </c>
      <c r="W26" s="203">
        <v>0</v>
      </c>
      <c r="X26" s="203">
        <v>55.48</v>
      </c>
      <c r="Y26" s="4"/>
    </row>
    <row r="27" spans="2: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14"/>
      <c r="Q27" s="4"/>
      <c r="R27" s="4"/>
      <c r="S27" s="4"/>
      <c r="T27" s="7">
        <v>1402</v>
      </c>
      <c r="U27" s="6" t="s">
        <v>77</v>
      </c>
      <c r="V27" s="203">
        <v>0</v>
      </c>
      <c r="W27" s="203">
        <v>36.65</v>
      </c>
      <c r="X27" s="203">
        <v>55.48</v>
      </c>
      <c r="Y27" s="4"/>
    </row>
    <row r="28" spans="2: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4"/>
      <c r="Q28" s="4"/>
      <c r="R28" s="4"/>
      <c r="S28" s="4"/>
      <c r="T28" s="7">
        <v>1403</v>
      </c>
      <c r="U28" s="6" t="s">
        <v>75</v>
      </c>
      <c r="V28" s="203">
        <v>0</v>
      </c>
      <c r="W28" s="203">
        <v>25.8</v>
      </c>
      <c r="X28" s="203">
        <v>55.48</v>
      </c>
      <c r="Y28" s="4"/>
    </row>
    <row r="29" spans="2: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14"/>
      <c r="Q29" s="4"/>
      <c r="R29" s="4"/>
      <c r="S29" s="4"/>
      <c r="T29" s="7">
        <v>1404</v>
      </c>
      <c r="U29" s="6" t="s">
        <v>74</v>
      </c>
      <c r="V29" s="203">
        <v>0</v>
      </c>
      <c r="W29" s="203">
        <v>17.11</v>
      </c>
      <c r="X29" s="203">
        <v>55.48</v>
      </c>
      <c r="Y29" s="4"/>
    </row>
    <row r="30" spans="2: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14"/>
      <c r="Q30" s="4"/>
      <c r="R30" s="4"/>
      <c r="S30" s="4"/>
      <c r="T30" s="7">
        <v>1405</v>
      </c>
      <c r="U30" s="6" t="s">
        <v>294</v>
      </c>
      <c r="V30" s="203">
        <v>40.4</v>
      </c>
      <c r="W30" s="203">
        <v>0</v>
      </c>
      <c r="X30" s="203">
        <v>77.75</v>
      </c>
      <c r="Y30" s="4"/>
    </row>
    <row r="31" spans="2: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14"/>
      <c r="Q31" s="4"/>
      <c r="R31" s="4"/>
      <c r="S31" s="4"/>
      <c r="T31" s="7">
        <v>1501</v>
      </c>
      <c r="U31" s="6" t="s">
        <v>78</v>
      </c>
      <c r="V31" s="203">
        <v>48</v>
      </c>
      <c r="W31" s="203">
        <v>0</v>
      </c>
      <c r="X31" s="203">
        <v>55.39</v>
      </c>
      <c r="Y31" s="4"/>
    </row>
    <row r="32" spans="2: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14"/>
      <c r="Q32" s="4"/>
      <c r="R32" s="4"/>
      <c r="S32" s="4"/>
      <c r="T32" s="7">
        <v>1502</v>
      </c>
      <c r="U32" s="6" t="s">
        <v>77</v>
      </c>
      <c r="V32" s="203">
        <v>0</v>
      </c>
      <c r="W32" s="203">
        <v>36.65</v>
      </c>
      <c r="X32" s="203">
        <v>55.39</v>
      </c>
      <c r="Y32" s="4"/>
    </row>
    <row r="33" spans="2: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14"/>
      <c r="Q33" s="4"/>
      <c r="R33" s="4"/>
      <c r="S33" s="4"/>
      <c r="T33" s="7">
        <v>1503</v>
      </c>
      <c r="U33" s="6" t="s">
        <v>75</v>
      </c>
      <c r="V33" s="203">
        <v>0</v>
      </c>
      <c r="W33" s="203">
        <v>25.8</v>
      </c>
      <c r="X33" s="203">
        <v>55.39</v>
      </c>
      <c r="Y33" s="4"/>
    </row>
    <row r="34" spans="2: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14"/>
      <c r="Q34" s="4"/>
      <c r="R34" s="4"/>
      <c r="S34" s="4"/>
      <c r="T34" s="7">
        <v>1504</v>
      </c>
      <c r="U34" s="6" t="s">
        <v>74</v>
      </c>
      <c r="V34" s="203">
        <v>0</v>
      </c>
      <c r="W34" s="203">
        <v>17.11</v>
      </c>
      <c r="X34" s="203">
        <v>55.39</v>
      </c>
      <c r="Y34" s="4"/>
    </row>
    <row r="35" spans="2: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14"/>
      <c r="Q35" s="4"/>
      <c r="R35" s="4"/>
      <c r="S35" s="4"/>
      <c r="T35" s="7">
        <v>1505</v>
      </c>
      <c r="U35" s="6" t="s">
        <v>294</v>
      </c>
      <c r="V35" s="203">
        <v>40.4</v>
      </c>
      <c r="W35" s="203">
        <v>0</v>
      </c>
      <c r="X35" s="203">
        <v>77.75</v>
      </c>
      <c r="Y35" s="4"/>
    </row>
    <row r="36" spans="2: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14"/>
      <c r="Q36" s="4"/>
      <c r="R36" s="4"/>
      <c r="S36" s="4"/>
      <c r="T36" s="7">
        <v>1601</v>
      </c>
      <c r="U36" s="6" t="s">
        <v>82</v>
      </c>
      <c r="V36" s="203">
        <v>20.7</v>
      </c>
      <c r="W36" s="203">
        <v>0</v>
      </c>
      <c r="X36" s="203">
        <v>97.5</v>
      </c>
      <c r="Y36" s="4"/>
    </row>
    <row r="37" spans="2: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14"/>
      <c r="Q37" s="4"/>
      <c r="R37" s="4"/>
      <c r="S37" s="4"/>
      <c r="T37" s="7">
        <v>1602</v>
      </c>
      <c r="U37" s="6" t="s">
        <v>81</v>
      </c>
      <c r="V37" s="203">
        <v>20.7</v>
      </c>
      <c r="W37" s="203">
        <v>0</v>
      </c>
      <c r="X37" s="203">
        <v>97.5</v>
      </c>
      <c r="Y37" s="4"/>
    </row>
    <row r="38" spans="2: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14"/>
      <c r="Q38" s="4"/>
      <c r="R38" s="4"/>
      <c r="S38" s="4"/>
      <c r="T38" s="7">
        <v>1603</v>
      </c>
      <c r="U38" s="6" t="s">
        <v>79</v>
      </c>
      <c r="V38" s="203">
        <v>42.3</v>
      </c>
      <c r="W38" s="203">
        <v>0</v>
      </c>
      <c r="X38" s="203">
        <v>73.3</v>
      </c>
      <c r="Y38" s="4"/>
    </row>
    <row r="39" spans="2: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14"/>
      <c r="Q39" s="4"/>
      <c r="R39" s="4"/>
      <c r="S39" s="4"/>
      <c r="T39" s="7">
        <v>1604</v>
      </c>
      <c r="U39" s="6" t="s">
        <v>140</v>
      </c>
      <c r="V39" s="203">
        <v>15.6</v>
      </c>
      <c r="W39" s="203">
        <v>0</v>
      </c>
      <c r="X39" s="205">
        <v>0</v>
      </c>
      <c r="Y39" s="4" t="s">
        <v>308</v>
      </c>
    </row>
    <row r="40" spans="2: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S40" s="4"/>
      <c r="T40" s="7">
        <v>1605</v>
      </c>
      <c r="U40" s="6" t="s">
        <v>73</v>
      </c>
      <c r="V40" s="203">
        <v>50.4</v>
      </c>
      <c r="W40" s="203">
        <v>0</v>
      </c>
      <c r="X40" s="203">
        <v>54.6</v>
      </c>
      <c r="Y40" s="4"/>
    </row>
    <row r="41" spans="2: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14"/>
      <c r="Q41" s="4"/>
      <c r="S41" s="4"/>
      <c r="T41" s="7">
        <v>1606</v>
      </c>
      <c r="U41" s="6" t="s">
        <v>72</v>
      </c>
      <c r="V41" s="203">
        <v>0</v>
      </c>
      <c r="W41" s="203">
        <v>0</v>
      </c>
      <c r="X41" s="203">
        <v>143</v>
      </c>
      <c r="Y41" s="4"/>
    </row>
    <row r="42" spans="2: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14"/>
      <c r="Q42" s="4"/>
      <c r="R42" s="4"/>
      <c r="S42" s="4"/>
      <c r="T42" s="7">
        <v>1607</v>
      </c>
      <c r="U42" s="6" t="s">
        <v>139</v>
      </c>
      <c r="V42" s="203">
        <v>10</v>
      </c>
      <c r="W42" s="203">
        <v>0</v>
      </c>
      <c r="X42" s="203">
        <v>91.7</v>
      </c>
      <c r="Y42" s="4"/>
    </row>
    <row r="43" spans="2: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7">
        <v>1608</v>
      </c>
      <c r="U43" s="6" t="s">
        <v>68</v>
      </c>
      <c r="V43" s="203">
        <v>11.6</v>
      </c>
      <c r="W43" s="203">
        <v>0</v>
      </c>
      <c r="X43" s="203">
        <v>100</v>
      </c>
      <c r="Y43" s="4"/>
    </row>
    <row r="44" spans="2: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7">
        <v>1609</v>
      </c>
      <c r="U44" s="6" t="s">
        <v>65</v>
      </c>
      <c r="V44" s="203">
        <v>40.200000000000003</v>
      </c>
      <c r="W44" s="203">
        <v>0</v>
      </c>
      <c r="X44" s="203">
        <v>73.3</v>
      </c>
      <c r="Y44" s="4"/>
    </row>
    <row r="45" spans="2: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7">
        <v>1610</v>
      </c>
      <c r="U45" s="6" t="s">
        <v>62</v>
      </c>
      <c r="V45" s="203">
        <v>32.5</v>
      </c>
      <c r="W45" s="203">
        <v>0</v>
      </c>
      <c r="X45" s="203">
        <v>97.5</v>
      </c>
      <c r="Y45" s="4"/>
    </row>
    <row r="46" spans="2: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7">
        <v>1611</v>
      </c>
      <c r="U46" s="6" t="s">
        <v>61</v>
      </c>
      <c r="V46" s="203">
        <v>28.2</v>
      </c>
      <c r="W46" s="203">
        <v>0</v>
      </c>
      <c r="X46" s="203">
        <v>107</v>
      </c>
      <c r="Y46" s="4"/>
    </row>
    <row r="47" spans="2: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7">
        <v>1612</v>
      </c>
      <c r="U47" s="6" t="s">
        <v>60</v>
      </c>
      <c r="V47" s="203">
        <v>47.3</v>
      </c>
      <c r="W47" s="203">
        <v>0</v>
      </c>
      <c r="X47" s="203">
        <v>63.1</v>
      </c>
      <c r="Y47" s="4"/>
    </row>
    <row r="48" spans="2: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7">
        <v>1613</v>
      </c>
      <c r="U48" s="6" t="s">
        <v>59</v>
      </c>
      <c r="V48" s="203">
        <v>44.3</v>
      </c>
      <c r="W48" s="203">
        <v>0</v>
      </c>
      <c r="X48" s="203">
        <v>69.3</v>
      </c>
      <c r="Y48" s="4"/>
    </row>
    <row r="49" spans="2: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7">
        <v>1614</v>
      </c>
      <c r="U49" s="6" t="s">
        <v>58</v>
      </c>
      <c r="V49" s="203">
        <v>44.3</v>
      </c>
      <c r="W49" s="203">
        <v>0</v>
      </c>
      <c r="X49" s="203">
        <v>70</v>
      </c>
      <c r="Y49" s="4"/>
    </row>
    <row r="50" spans="2: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7">
        <v>1615</v>
      </c>
      <c r="U50" s="6" t="s">
        <v>57</v>
      </c>
      <c r="V50" s="203">
        <v>44.3</v>
      </c>
      <c r="W50" s="203">
        <v>0</v>
      </c>
      <c r="X50" s="203">
        <v>71.5</v>
      </c>
      <c r="Y50" s="4"/>
    </row>
    <row r="51" spans="2: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7">
        <v>1616</v>
      </c>
      <c r="U51" s="6" t="s">
        <v>56</v>
      </c>
      <c r="V51" s="203">
        <v>43</v>
      </c>
      <c r="W51" s="203">
        <v>0</v>
      </c>
      <c r="X51" s="203">
        <v>74.099999999999994</v>
      </c>
      <c r="Y51" s="4"/>
    </row>
    <row r="52" spans="2: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7">
        <v>1617</v>
      </c>
      <c r="U52" s="6" t="s">
        <v>54</v>
      </c>
      <c r="V52" s="203">
        <v>44.8</v>
      </c>
      <c r="W52" s="203">
        <v>0</v>
      </c>
      <c r="X52" s="203">
        <v>73.3</v>
      </c>
      <c r="Y52" s="4"/>
    </row>
    <row r="53" spans="2: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7">
        <v>1618</v>
      </c>
      <c r="U53" s="6" t="s">
        <v>53</v>
      </c>
      <c r="V53" s="203">
        <v>49.5</v>
      </c>
      <c r="W53" s="203">
        <v>0</v>
      </c>
      <c r="X53" s="203">
        <v>57.6</v>
      </c>
      <c r="Y53" s="4"/>
    </row>
    <row r="54" spans="2:25">
      <c r="B54" s="4"/>
      <c r="C54" s="10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7">
        <v>1619</v>
      </c>
      <c r="U54" s="6" t="s">
        <v>52</v>
      </c>
      <c r="V54" s="203">
        <v>38.700000000000003</v>
      </c>
      <c r="W54" s="203">
        <v>16.84</v>
      </c>
      <c r="X54" s="203">
        <v>44.4</v>
      </c>
      <c r="Y54" s="4"/>
    </row>
    <row r="55" spans="2:25">
      <c r="B55" s="4"/>
      <c r="C55" s="10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7">
        <v>1620</v>
      </c>
      <c r="U55" s="6" t="s">
        <v>51</v>
      </c>
      <c r="V55" s="203">
        <v>2.4700000000000002</v>
      </c>
      <c r="W55" s="203">
        <v>3.31</v>
      </c>
      <c r="X55" s="203">
        <v>260</v>
      </c>
      <c r="Y55" s="4"/>
    </row>
    <row r="56" spans="2:25">
      <c r="B56" s="4"/>
      <c r="C56" s="10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7">
        <v>1701</v>
      </c>
      <c r="U56" s="6" t="s">
        <v>50</v>
      </c>
      <c r="V56" s="203">
        <v>22.61</v>
      </c>
      <c r="W56" s="203">
        <v>0</v>
      </c>
      <c r="X56" s="203">
        <v>94.73</v>
      </c>
      <c r="Y56" s="4"/>
    </row>
    <row r="57" spans="2: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7">
        <v>1702</v>
      </c>
      <c r="U57" s="6" t="s">
        <v>49</v>
      </c>
      <c r="V57" s="203">
        <v>7.95</v>
      </c>
      <c r="W57" s="203">
        <v>0</v>
      </c>
      <c r="X57" s="203">
        <v>111.65</v>
      </c>
      <c r="Y57" s="4"/>
    </row>
    <row r="58" spans="2: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2: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2: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2: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2: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2: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2: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2: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2: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2: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2: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2: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2: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2: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2: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2: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2: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2:25">
      <c r="B75" s="4"/>
      <c r="C75" s="11"/>
      <c r="D75" s="8"/>
      <c r="E75" s="8"/>
      <c r="F75" s="8"/>
      <c r="G75" s="8"/>
      <c r="H75" s="4"/>
      <c r="I75" s="4"/>
      <c r="J75" s="11"/>
      <c r="K75" s="8"/>
      <c r="L75" s="8"/>
      <c r="M75" s="8"/>
      <c r="N75" s="8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2:25">
      <c r="B76" s="4"/>
      <c r="C76" s="11"/>
      <c r="D76" s="9"/>
      <c r="E76" s="9"/>
      <c r="F76" s="10"/>
      <c r="G76" s="4"/>
      <c r="H76" s="4"/>
      <c r="I76" s="4"/>
      <c r="J76" s="11"/>
      <c r="K76" s="9"/>
      <c r="L76" s="9"/>
      <c r="M76" s="10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2:25">
      <c r="B77" s="4"/>
      <c r="C77" s="11"/>
      <c r="D77" s="9"/>
      <c r="E77" s="9"/>
      <c r="F77" s="10"/>
      <c r="G77" s="4"/>
      <c r="H77" s="4"/>
      <c r="I77" s="4"/>
      <c r="J77" s="11"/>
      <c r="K77" s="9"/>
      <c r="L77" s="9"/>
      <c r="M77" s="10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2:25">
      <c r="B78" s="4"/>
      <c r="C78" s="11"/>
      <c r="D78" s="9"/>
      <c r="E78" s="9"/>
      <c r="F78" s="10"/>
      <c r="G78" s="4"/>
      <c r="H78" s="4"/>
      <c r="I78" s="4"/>
      <c r="J78" s="11"/>
      <c r="K78" s="9"/>
      <c r="L78" s="9"/>
      <c r="M78" s="10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2:25">
      <c r="B79" s="4"/>
      <c r="C79" s="11"/>
      <c r="D79" s="9"/>
      <c r="E79" s="9"/>
      <c r="F79" s="12"/>
      <c r="G79" s="4"/>
      <c r="H79" s="4"/>
      <c r="I79" s="4"/>
      <c r="J79" s="11"/>
      <c r="K79" s="9"/>
      <c r="L79" s="9"/>
      <c r="M79" s="12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2:25">
      <c r="B80" s="4"/>
      <c r="C80" s="11"/>
      <c r="D80" s="9"/>
      <c r="E80" s="9"/>
      <c r="F80" s="10"/>
      <c r="G80" s="4"/>
      <c r="H80" s="8"/>
      <c r="I80" s="4"/>
      <c r="J80" s="11"/>
      <c r="K80" s="9"/>
      <c r="L80" s="9"/>
      <c r="M80" s="10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2:2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2:25" ht="15">
      <c r="B82" s="4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2:25">
      <c r="B83" s="4"/>
      <c r="C83" s="1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2:2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</sheetData>
  <sheetProtection algorithmName="SHA-512" hashValue="PR0wVOUBzlDOUa7KALa8IdGR7GFvyjHZT81fFVErjgmTfmrZ7XfEjARwzc9Ps+v/fBN35Ka7tY4KSff/ryKQTg==" saltValue="kEjHWAgB/KNVngHEi4u+aQ==" spinCount="100000" sheet="1" formatRows="0"/>
  <mergeCells count="3">
    <mergeCell ref="I3:J3"/>
    <mergeCell ref="C15:E15"/>
    <mergeCell ref="C16:E1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FE558-7B1E-4885-8703-1809A7FADE33}">
  <sheetPr codeName="Arkusz9"/>
  <dimension ref="C3:E8"/>
  <sheetViews>
    <sheetView workbookViewId="0">
      <selection activeCell="A7" sqref="A7:Z7"/>
    </sheetView>
  </sheetViews>
  <sheetFormatPr defaultColWidth="8" defaultRowHeight="14.25"/>
  <cols>
    <col min="1" max="2" width="8" style="36"/>
    <col min="3" max="3" width="55.375" style="36" customWidth="1"/>
    <col min="4" max="4" width="8" style="36"/>
    <col min="5" max="5" width="14.375" style="36" customWidth="1"/>
    <col min="6" max="16384" width="8" style="36"/>
  </cols>
  <sheetData>
    <row r="3" spans="3:5" ht="18.75">
      <c r="C3" s="35" t="s">
        <v>350</v>
      </c>
      <c r="D3" s="36">
        <v>0.81200000000000006</v>
      </c>
      <c r="E3" s="36" t="s">
        <v>351</v>
      </c>
    </row>
    <row r="5" spans="3:5">
      <c r="C5" s="35" t="s">
        <v>352</v>
      </c>
      <c r="D5" s="36">
        <v>0.2</v>
      </c>
      <c r="E5" s="36" t="s">
        <v>353</v>
      </c>
    </row>
    <row r="6" spans="3:5">
      <c r="C6" s="35" t="s">
        <v>354</v>
      </c>
      <c r="D6" s="36">
        <v>1.2</v>
      </c>
      <c r="E6" s="36" t="s">
        <v>353</v>
      </c>
    </row>
    <row r="7" spans="3:5" ht="18.75">
      <c r="C7" s="35" t="s">
        <v>355</v>
      </c>
      <c r="D7" s="36">
        <v>120</v>
      </c>
      <c r="E7" s="36" t="s">
        <v>356</v>
      </c>
    </row>
    <row r="8" spans="3:5" ht="18.75">
      <c r="C8" s="35" t="s">
        <v>357</v>
      </c>
      <c r="D8" s="36">
        <v>800</v>
      </c>
      <c r="E8" s="36" t="s">
        <v>356</v>
      </c>
    </row>
  </sheetData>
  <sheetProtection algorithmName="SHA-512" hashValue="C7rNZeTbrKWgKprGbpRWNXua5x5p9dC44fElKQj3hEp3Mc+Z0cHA02+PXp3D9d639We0zPTJkCdAiFCNFHNGSg==" saltValue="YTdAtD7DM18O/+sW0kZnNg==" spinCount="100000" sheet="1" forma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11</vt:i4>
      </vt:variant>
    </vt:vector>
  </HeadingPairs>
  <TitlesOfParts>
    <vt:vector size="20" baseType="lpstr">
      <vt:lpstr>Instrukcja</vt:lpstr>
      <vt:lpstr>OA-I</vt:lpstr>
      <vt:lpstr>OA-II</vt:lpstr>
      <vt:lpstr>OA-III</vt:lpstr>
      <vt:lpstr>OA-IV</vt:lpstr>
      <vt:lpstr>OA-V</vt:lpstr>
      <vt:lpstr>OA-VI</vt:lpstr>
      <vt:lpstr>KOBIZE</vt:lpstr>
      <vt:lpstr>Dane</vt:lpstr>
      <vt:lpstr>emisja.osobowy</vt:lpstr>
      <vt:lpstr>emisja.pozostaly</vt:lpstr>
      <vt:lpstr>emisyjnosc</vt:lpstr>
      <vt:lpstr>'OA-I'!Obszar_wydruku</vt:lpstr>
      <vt:lpstr>'OA-II'!Obszar_wydruku</vt:lpstr>
      <vt:lpstr>'OA-III'!Obszar_wydruku</vt:lpstr>
      <vt:lpstr>'OA-IV'!Obszar_wydruku</vt:lpstr>
      <vt:lpstr>'OA-V'!Obszar_wydruku</vt:lpstr>
      <vt:lpstr>'OA-VI'!Obszar_wydruku</vt:lpstr>
      <vt:lpstr>zuzycie.energii.osobowy</vt:lpstr>
      <vt:lpstr>zuzycie.energii.pozostaly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Arkadiusz Chatłas</dc:creator>
  <cp:lastModifiedBy>Piątek, Jędrzej</cp:lastModifiedBy>
  <cp:lastPrinted>2023-01-03T12:07:50Z</cp:lastPrinted>
  <dcterms:created xsi:type="dcterms:W3CDTF">2014-02-17T14:09:35Z</dcterms:created>
  <dcterms:modified xsi:type="dcterms:W3CDTF">2023-01-11T09:19:10Z</dcterms:modified>
</cp:coreProperties>
</file>