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WNIOSKU_2025\Dla WNIOSKODAWCY\Efekty ekologiczne\"/>
    </mc:Choice>
  </mc:AlternateContent>
  <xr:revisionPtr revIDLastSave="0" documentId="13_ncr:1_{D008EAD6-AF03-400B-BCAF-08D97FC62FAD}" xr6:coauthVersionLast="47" xr6:coauthVersionMax="47" xr10:uidLastSave="{00000000-0000-0000-0000-000000000000}"/>
  <workbookProtection workbookAlgorithmName="SHA-512" workbookHashValue="sI8NaFPFozsciZdgHUMmPDICxTJm57vJX70e6sXXQIT33Ni+lXUtgn6D9wUWeRKXVIWQ5Q//x8aN5N6Bz92Djw==" workbookSaltValue="aIR8aiC44V7+PJiUjxz2Dg==" workbookSpinCount="100000" lockStructure="1"/>
  <bookViews>
    <workbookView xWindow="2868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KOBIZE" sheetId="11" state="hidden" r:id="rId8"/>
    <sheet name="Dane" sheetId="14" state="hidden" r:id="rId9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3" l="1"/>
  <c r="V22" i="13"/>
  <c r="D10" i="14" l="1"/>
  <c r="A40" i="13" l="1"/>
  <c r="A38" i="12"/>
  <c r="B60" i="10"/>
  <c r="B76" i="9"/>
  <c r="B85" i="8"/>
  <c r="B56" i="7"/>
  <c r="V34" i="12" l="1"/>
  <c r="V35" i="12" s="1"/>
  <c r="V32" i="12"/>
  <c r="V31" i="12"/>
  <c r="V33" i="12"/>
  <c r="V33" i="13" l="1"/>
  <c r="V28" i="13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N16" i="9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M32" i="10"/>
  <c r="M33" i="10" s="1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<sst xmlns="http://schemas.openxmlformats.org/spreadsheetml/2006/main" count="1339" uniqueCount="421">
  <si>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</si>
  <si>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</si>
  <si>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</si>
  <si>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</si>
  <si>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</si>
  <si>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</si>
  <si>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</si>
  <si>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</si>
  <si>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</si>
  <si>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</si>
  <si>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</si>
  <si>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</si>
  <si>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</si>
  <si>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</si>
  <si>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</si>
  <si>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</si>
  <si>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</si>
  <si>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</si>
  <si>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</si>
  <si>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</si>
  <si>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</si>
  <si>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</si>
  <si>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</si>
  <si>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</si>
  <si>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</si>
  <si>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</si>
  <si>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</si>
  <si>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</si>
  <si>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</si>
  <si>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</si>
  <si>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</si>
  <si>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</si>
  <si>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</si>
  <si>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</si>
  <si>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</si>
  <si>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</si>
  <si>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</si>
  <si>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</si>
  <si>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</si>
  <si>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</si>
  <si>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</si>
  <si>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</si>
  <si>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</si>
  <si>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</si>
  <si>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</si>
  <si>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</si>
  <si>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</si>
  <si>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</si>
  <si>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</si>
  <si>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</si>
  <si>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</si>
  <si>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</si>
  <si>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</si>
  <si>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</si>
  <si>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</si>
  <si>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</si>
  <si>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</si>
  <si>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</si>
  <si>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</si>
  <si>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</si>
  <si>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</si>
  <si>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</si>
  <si>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</si>
  <si>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</si>
  <si>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</si>
  <si>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</si>
  <si>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</si>
  <si>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</si>
  <si>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</si>
  <si>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</si>
  <si>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</si>
  <si>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</si>
  <si>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</si>
  <si>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</si>
  <si>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</si>
  <si>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</si>
  <si>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</si>
  <si>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</si>
  <si>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</si>
  <si>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</si>
  <si>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</si>
  <si>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</si>
  <si>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</si>
  <si>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</si>
  <si>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</si>
  <si>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</si>
  <si>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</si>
  <si>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</si>
  <si>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</si>
  <si>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</si>
  <si>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</si>
  <si>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</si>
  <si>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</si>
  <si>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</si>
  <si>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</si>
  <si>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</si>
  <si>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</si>
  <si>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</si>
  <si>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</si>
  <si>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</si>
  <si>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</si>
  <si>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</si>
  <si>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</si>
  <si>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</si>
  <si>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</si>
  <si>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</si>
  <si>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</si>
  <si>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</si>
  <si>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</si>
  <si>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</si>
  <si>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</si>
  <si>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</si>
  <si>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</si>
  <si>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</si>
  <si>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</si>
  <si>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</si>
  <si>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</si>
  <si>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</si>
  <si>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</si>
  <si>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</si>
  <si>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</si>
  <si>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</si>
  <si>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</si>
  <si>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</si>
  <si>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</si>
  <si>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</si>
  <si>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</si>
  <si>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</si>
  <si>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</si>
  <si>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</si>
  <si>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</si>
  <si>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</si>
  <si>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</si>
  <si>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</si>
  <si>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</si>
  <si>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</si>
  <si>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</si>
  <si>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</si>
  <si>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</si>
  <si>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</si>
  <si>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</si>
  <si>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</si>
  <si>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</si>
  <si>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</si>
  <si>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</si>
  <si>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</si>
  <si>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</si>
  <si>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</si>
  <si>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</si>
  <si>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</si>
  <si>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</si>
  <si>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</si>
  <si>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</si>
  <si>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</si>
  <si>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</si>
  <si>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</si>
  <si>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</si>
  <si>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</si>
  <si>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</si>
  <si>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</si>
  <si>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</si>
  <si>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</si>
  <si>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</si>
  <si>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</si>
  <si>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</si>
  <si>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</si>
  <si>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</si>
  <si>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</si>
  <si>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</si>
  <si>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</si>
  <si>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</si>
  <si>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</si>
  <si>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</si>
  <si>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</si>
  <si>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</si>
  <si>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</si>
  <si>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</si>
  <si>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</si>
  <si>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</si>
  <si>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</si>
  <si>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</si>
  <si>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</si>
  <si>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</si>
  <si>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</si>
  <si>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</si>
  <si>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</si>
  <si>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</si>
  <si>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</si>
  <si>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</si>
  <si>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</si>
  <si>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</si>
  <si>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</si>
  <si>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</si>
  <si>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</si>
  <si>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</si>
  <si>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</si>
  <si>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</si>
  <si>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</si>
  <si>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</si>
  <si>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</si>
  <si>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</si>
  <si>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</si>
  <si>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</si>
  <si>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</si>
  <si>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</si>
  <si>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</si>
  <si>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</si>
  <si>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</si>
  <si>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</si>
  <si>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</si>
  <si>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</si>
  <si>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</si>
  <si>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</si>
  <si>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</si>
  <si>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</si>
  <si>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</si>
  <si>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</si>
  <si>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</si>
  <si>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</si>
  <si>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</si>
  <si>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</si>
  <si>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</si>
  <si>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</si>
  <si>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</si>
  <si>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</si>
  <si>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</si>
  <si>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</si>
  <si>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</si>
  <si>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</si>
  <si>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</si>
  <si>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</si>
  <si>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</si>
  <si>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</si>
  <si>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</si>
  <si>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</si>
  <si>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</si>
  <si>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</si>
  <si>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</si>
  <si>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</si>
  <si>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</si>
  <si>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</si>
  <si>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</si>
  <si>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</si>
  <si>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</si>
  <si>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</si>
  <si>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</si>
  <si>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</si>
  <si>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</si>
  <si>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</si>
  <si>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</si>
  <si>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</si>
  <si>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</si>
  <si>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</si>
  <si>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</si>
  <si>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</si>
  <si>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</si>
  <si>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</si>
  <si>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</si>
  <si>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</si>
  <si>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</si>
  <si>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</si>
  <si>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</si>
  <si>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</si>
  <si>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</si>
  <si>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</si>
  <si>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</si>
  <si>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</si>
  <si>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</si>
  <si>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</si>
  <si>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</si>
  <si>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</si>
  <si>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</si>
  <si>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</si>
  <si>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</si>
  <si>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</si>
  <si>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</si>
  <si>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</si>
  <si>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</si>
  <si>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</si>
  <si>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</si>
  <si>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</si>
  <si>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</si>
  <si>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</si>
  <si>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</si>
  <si>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</si>
  <si>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</si>
  <si>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</si>
  <si>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</si>
  <si>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</si>
  <si>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</si>
  <si>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</si>
  <si>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</si>
  <si>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</si>
  <si>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</si>
  <si>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</si>
  <si>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</si>
  <si>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</si>
  <si>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</si>
  <si>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</si>
  <si>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</si>
  <si>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</si>
  <si>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</si>
  <si>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</si>
  <si>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</si>
  <si>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</si>
  <si>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</si>
  <si>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</si>
  <si>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</si>
  <si>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</si>
  <si>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</si>
  <si>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</si>
  <si>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</si>
  <si>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</si>
  <si>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</si>
  <si>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</si>
  <si>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</si>
  <si>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</si>
  <si>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</si>
  <si>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</si>
  <si>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</si>
  <si>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</si>
  <si>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</si>
  <si>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</si>
  <si>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</si>
  <si>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</si>
  <si>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</si>
  <si>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</si>
  <si>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</si>
  <si>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</si>
  <si>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</si>
  <si>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</si>
  <si>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</si>
  <si>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</si>
  <si>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</si>
  <si>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</si>
  <si>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</si>
  <si>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</si>
  <si>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</si>
  <si>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</si>
  <si>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</si>
  <si>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</si>
  <si>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</si>
  <si>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</si>
  <si>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</si>
  <si>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</si>
  <si>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</si>
  <si>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</si>
  <si>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</si>
  <si>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</si>
  <si>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</si>
  <si>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</si>
  <si>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</si>
  <si>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</si>
  <si>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</si>
  <si>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</si>
  <si>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</si>
  <si>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</si>
  <si>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</si>
  <si>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</si>
  <si>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</si>
  <si>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</si>
  <si>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</si>
  <si>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</si>
  <si>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</si>
  <si>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</si>
  <si>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</si>
  <si>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</si>
  <si>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</si>
  <si>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</si>
  <si>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</si>
  <si>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</si>
  <si>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</si>
  <si>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</si>
  <si>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</si>
  <si>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</si>
  <si>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</si>
  <si>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</si>
  <si>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</si>
  <si>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</si>
  <si>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</si>
  <si>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</si>
  <si>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</si>
  <si>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</si>
  <si>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</si>
  <si>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</si>
  <si>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</si>
  <si>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</si>
  <si>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</si>
  <si>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</si>
  <si>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</si>
  <si>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</si>
  <si>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</si>
  <si>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</si>
  <si>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</si>
  <si>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</si>
  <si>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</si>
  <si>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</si>
  <si>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</si>
  <si>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</si>
  <si>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</si>
  <si>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</si>
  <si>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</si>
  <si>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</si>
  <si>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Instrukcja postępowania dla druków efektów ekologicznych OA-I, OA-II, OA-III, OA-IV, OA-V, OA-VI</t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</si>
  <si>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</si>
  <si>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</si>
  <si>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</si>
  <si>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</si>
  <si>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</si>
  <si>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</si>
  <si>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</si>
  <si>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</si>
  <si>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</si>
  <si>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</si>
  <si>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</si>
  <si>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</si>
  <si>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Szacowany czas ładowania pojazdów tygodniowo</t>
  </si>
  <si>
    <t>liczba tygodni w roku (założenie 365dni)</t>
  </si>
  <si>
    <t xml:space="preserve">[1] Wyłącznie na potrzeby statystyczne WFOŚiGW
* wg KOBIZE "Wartości opałowe (WO) i wskaźniki emisji CO2 (WE) w roku 2022 do raportowania w ramach Systemu Handlu Uprawnieniami do Emisji za rok 2025"
** wg "Zestawienia wzorów i wskaźników emisji substancji zanieczyszczających wprowadzanych do powietrza" dostępnego na stronie internetowej WFOŚiGW w Poznaniu www.wfosigw.poznan.pl </t>
  </si>
  <si>
    <t>[1] Wyłącznie na potrzeby statystyczne WFOŚiGW
* wg KOBIZE "Wartości opałowe (WO) i wskaźniki emisji CO2 (WE) w roku 2022 do raportowania w ramach Systemu Handlu Uprawnieniami do Emisji za rok 2025"</t>
  </si>
  <si>
    <t>[1] Wyłącznie na potrzeby statystyczne WFOŚiGW
[2] Dla instalacji fotowoltaicznych przeznaczony jest efekt ekologiczny OA-V
* wg KOBIZE "Wartości opałowe (WO) i wskaźniki emisji CO2 (WE) w roku 2022 do raportowania w ramach Systemu Handlu Uprawnieniami do Emisji za rok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</si>
</sst>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480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18" fillId="3" borderId="4" xfId="8" applyFont="1" applyFill="1" applyBorder="1" applyAlignment="1" applyProtection="1">
      <alignment horizont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22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5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3"/>
  <sheetViews>
    <sheetView showGridLines="0" tabSelected="1" zoomScale="85" zoomScaleNormal="85" workbookViewId="0">
      <selection activeCell="L3" sqref="L3"/>
    </sheetView>
  </sheetViews>
  <sheetFormatPr defaultColWidth="9" defaultRowHeight="13.8"/>
  <cols>
    <col min="1" max="1" width="4.09765625" style="1" customWidth="1"/>
    <col min="2" max="16384" width="9" style="1"/>
  </cols>
  <sheetData>
    <row r="1" spans="1:26" ht="24.9" customHeight="1">
      <c r="A1" s="209" t="s">
        <v>403</v>
      </c>
      <c r="C1" s="19"/>
      <c r="D1" s="19"/>
    </row>
    <row r="2" spans="1:26" ht="24.9" customHeight="1">
      <c r="A2" s="209"/>
      <c r="C2" s="19"/>
      <c r="D2" s="19"/>
    </row>
    <row r="3" spans="1:26" ht="50.1" customHeight="1">
      <c r="A3" s="230" t="s">
        <v>400</v>
      </c>
      <c r="B3" s="230"/>
      <c r="C3" s="230"/>
      <c r="D3" s="230"/>
      <c r="E3" s="230"/>
      <c r="F3" s="230"/>
      <c r="G3" s="230"/>
      <c r="H3" s="230"/>
      <c r="I3" s="230"/>
    </row>
    <row r="4" spans="1:26" ht="24.9" customHeight="1"/>
    <row r="5" spans="1:26" ht="24.9" customHeight="1">
      <c r="A5" s="18" t="s">
        <v>393</v>
      </c>
      <c r="B5" s="19" t="s">
        <v>399</v>
      </c>
      <c r="C5" s="19"/>
      <c r="D5" s="19"/>
    </row>
    <row r="6" spans="1:26" ht="24.9" customHeight="1">
      <c r="A6" s="18" t="s">
        <v>394</v>
      </c>
      <c r="B6" s="19" t="s">
        <v>205</v>
      </c>
      <c r="C6" s="19"/>
      <c r="D6" s="19"/>
    </row>
    <row r="7" spans="1:26" ht="24.9" customHeight="1">
      <c r="A7" s="18" t="s">
        <v>395</v>
      </c>
      <c r="B7" s="19" t="s">
        <v>269</v>
      </c>
      <c r="C7" s="19"/>
      <c r="D7" s="19"/>
    </row>
    <row r="8" spans="1:26" ht="24.9" customHeight="1">
      <c r="A8" s="18" t="s">
        <v>396</v>
      </c>
      <c r="B8" s="19" t="s">
        <v>195</v>
      </c>
      <c r="C8" s="19"/>
      <c r="D8" s="19"/>
    </row>
    <row r="9" spans="1:26" ht="24.9" customHeight="1">
      <c r="A9" s="18" t="s">
        <v>397</v>
      </c>
      <c r="B9" s="19" t="s">
        <v>410</v>
      </c>
      <c r="C9" s="19"/>
      <c r="D9" s="19"/>
    </row>
    <row r="10" spans="1:26" ht="24.9" customHeight="1">
      <c r="A10" s="18" t="s">
        <v>398</v>
      </c>
      <c r="B10" s="19" t="s">
        <v>272</v>
      </c>
      <c r="C10" s="19"/>
      <c r="D10" s="19"/>
    </row>
    <row r="11" spans="1:26" ht="24.9" customHeight="1">
      <c r="A11" s="18"/>
      <c r="C11" s="19"/>
      <c r="D11" s="19"/>
    </row>
    <row r="12" spans="1:26" ht="24.9" customHeight="1">
      <c r="A12" s="18"/>
      <c r="B12" s="208" t="s">
        <v>270</v>
      </c>
      <c r="C12" s="19"/>
      <c r="D12" s="19"/>
    </row>
    <row r="13" spans="1:26" s="19" customFormat="1" ht="50.1" customHeight="1">
      <c r="A13" s="18"/>
      <c r="B13" s="229" t="s">
        <v>404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9" customFormat="1" ht="24.9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9" customFormat="1" ht="75" customHeight="1">
      <c r="B15" s="229" t="s">
        <v>405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9" customFormat="1" ht="24.9" customHeight="1"/>
    <row r="17" spans="2:26" s="19" customFormat="1" ht="50.1" customHeight="1">
      <c r="B17" s="229" t="s">
        <v>271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2:26" s="19" customFormat="1" ht="24.9" customHeight="1"/>
    <row r="19" spans="2:26" s="19" customFormat="1" ht="50.1" customHeight="1">
      <c r="B19" s="229" t="s">
        <v>407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1" spans="2:26" ht="75" customHeight="1">
      <c r="B21" s="229" t="s">
        <v>408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3" spans="2:26" ht="22.8">
      <c r="B23" s="229" t="s">
        <v>406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</sheetData>
  <sheetProtection algorithmName="SHA-512" hashValue="088vPYLJ2UxfMqV9qvKLBjOSydfufGly1cs3FumvXPYjgT3IE7GMhpEzfP8CDELQdjzuEQL1eiKHl4jOVZh/dg==" saltValue="ZQ9aJjb30LtYUOTHo2jsiQ==" spinCount="100000" sheet="1" formatRows="0"/>
  <mergeCells count="7">
    <mergeCell ref="B21:Z21"/>
    <mergeCell ref="B23:Z23"/>
    <mergeCell ref="B19:Z19"/>
    <mergeCell ref="A3:I3"/>
    <mergeCell ref="B13:Z13"/>
    <mergeCell ref="B15:Z15"/>
    <mergeCell ref="B17:Z17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F8" sqref="F8"/>
    </sheetView>
  </sheetViews>
  <sheetFormatPr defaultColWidth="9" defaultRowHeight="13.8"/>
  <cols>
    <col min="1" max="1" width="11.69921875" style="37" customWidth="1"/>
    <col min="2" max="2" width="16.69921875" style="37" customWidth="1"/>
    <col min="3" max="3" width="14.69921875" style="37" customWidth="1"/>
    <col min="4" max="4" width="14.5" style="37" customWidth="1"/>
    <col min="5" max="5" width="14.19921875" style="37" customWidth="1"/>
    <col min="6" max="6" width="14.8984375" style="37" customWidth="1"/>
    <col min="7" max="16384" width="9" style="37"/>
  </cols>
  <sheetData>
    <row r="1" spans="1:51" ht="12.75" customHeight="1">
      <c r="A1" s="266" t="s">
        <v>164</v>
      </c>
      <c r="B1" s="266"/>
      <c r="C1" s="266"/>
      <c r="D1" s="266"/>
      <c r="E1" s="266"/>
      <c r="F1" s="266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36"/>
      <c r="AJ1" s="236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70" t="s">
        <v>352</v>
      </c>
      <c r="B2" s="270"/>
      <c r="C2" s="270"/>
      <c r="D2" s="270"/>
      <c r="E2" s="270"/>
      <c r="F2" s="270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70" t="s">
        <v>165</v>
      </c>
      <c r="B3" s="270"/>
      <c r="C3" s="270"/>
      <c r="D3" s="270"/>
      <c r="E3" s="270"/>
      <c r="F3" s="270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71"/>
      <c r="B5" s="271"/>
      <c r="C5" s="271"/>
      <c r="D5" s="271"/>
      <c r="E5" s="271"/>
      <c r="F5" s="271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72" t="s">
        <v>166</v>
      </c>
      <c r="B6" s="272"/>
      <c r="C6" s="272"/>
      <c r="D6" s="272"/>
      <c r="E6" s="272"/>
      <c r="F6" s="272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173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167</v>
      </c>
      <c r="B10" s="52"/>
      <c r="C10" s="269" t="s">
        <v>168</v>
      </c>
      <c r="D10" s="269"/>
      <c r="E10" s="269" t="s">
        <v>112</v>
      </c>
      <c r="F10" s="26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>
      <c r="A11" s="237" t="s">
        <v>189</v>
      </c>
      <c r="B11" s="238"/>
      <c r="C11" s="274"/>
      <c r="D11" s="274"/>
      <c r="E11" s="274"/>
      <c r="F11" s="274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190</v>
      </c>
      <c r="B12" s="52"/>
      <c r="C12" s="274"/>
      <c r="D12" s="274"/>
      <c r="E12" s="274"/>
      <c r="F12" s="274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37" t="s">
        <v>191</v>
      </c>
      <c r="B13" s="238"/>
      <c r="C13" s="273"/>
      <c r="D13" s="273"/>
      <c r="E13" s="273"/>
      <c r="F13" s="273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37" t="s">
        <v>192</v>
      </c>
      <c r="B14" s="238"/>
      <c r="C14" s="273"/>
      <c r="D14" s="273"/>
      <c r="E14" s="273"/>
      <c r="F14" s="273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275" t="s">
        <v>193</v>
      </c>
      <c r="B15" s="275"/>
      <c r="C15" s="273"/>
      <c r="D15" s="273"/>
      <c r="E15" s="273"/>
      <c r="F15" s="273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239" t="s">
        <v>188</v>
      </c>
      <c r="B16" s="240"/>
      <c r="C16" s="273"/>
      <c r="D16" s="273"/>
      <c r="E16" s="273"/>
      <c r="F16" s="273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>
      <c r="A17" s="237" t="s">
        <v>169</v>
      </c>
      <c r="B17" s="238"/>
      <c r="C17" s="273"/>
      <c r="D17" s="273"/>
      <c r="E17" s="273"/>
      <c r="F17" s="273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9" t="s">
        <v>194</v>
      </c>
      <c r="B18" s="52"/>
      <c r="C18" s="273"/>
      <c r="D18" s="273"/>
      <c r="E18" s="273"/>
      <c r="F18" s="273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275" t="s">
        <v>268</v>
      </c>
      <c r="B19" s="275"/>
      <c r="C19" s="276"/>
      <c r="D19" s="276"/>
      <c r="E19" s="276"/>
      <c r="F19" s="276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181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277"/>
      <c r="D22" s="277"/>
      <c r="E22" s="277"/>
      <c r="F22" s="277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275" t="s">
        <v>353</v>
      </c>
      <c r="B23" s="275"/>
      <c r="C23" s="274"/>
      <c r="D23" s="274"/>
      <c r="E23" s="274"/>
      <c r="F23" s="274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275" t="s">
        <v>273</v>
      </c>
      <c r="B24" s="275"/>
      <c r="C24" s="274"/>
      <c r="D24" s="274"/>
      <c r="E24" s="274"/>
      <c r="F24" s="274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278" t="s">
        <v>171</v>
      </c>
      <c r="B25" s="278"/>
      <c r="C25" s="274"/>
      <c r="D25" s="274"/>
      <c r="E25" s="274"/>
      <c r="F25" s="274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354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279" t="s">
        <v>109</v>
      </c>
      <c r="B29" s="279"/>
      <c r="C29" s="269" t="s">
        <v>110</v>
      </c>
      <c r="D29" s="269"/>
      <c r="E29" s="269" t="s">
        <v>111</v>
      </c>
      <c r="F29" s="26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>
      <c r="A30" s="279"/>
      <c r="B30" s="279"/>
      <c r="C30" s="53" t="s">
        <v>115</v>
      </c>
      <c r="D30" s="53" t="s">
        <v>112</v>
      </c>
      <c r="E30" s="53" t="s">
        <v>113</v>
      </c>
      <c r="F30" s="53" t="s">
        <v>114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>
      <c r="A31" s="286">
        <v>1</v>
      </c>
      <c r="B31" s="286"/>
      <c r="C31" s="53">
        <v>2</v>
      </c>
      <c r="D31" s="53">
        <v>3</v>
      </c>
      <c r="E31" s="53">
        <v>4</v>
      </c>
      <c r="F31" s="53">
        <v>5</v>
      </c>
      <c r="M31" s="38"/>
      <c r="N31" s="38"/>
      <c r="O31" s="38"/>
      <c r="P31" s="38"/>
      <c r="Q31" s="38"/>
      <c r="R31" s="61"/>
      <c r="S31" s="44"/>
      <c r="T31" s="38"/>
      <c r="U31" s="38"/>
      <c r="V31" s="38"/>
      <c r="W31" s="38"/>
      <c r="X31" s="38"/>
      <c r="Y31" s="44"/>
      <c r="Z31" s="44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42"/>
      <c r="AQ31" s="38"/>
      <c r="AR31" s="38"/>
      <c r="AS31" s="38"/>
      <c r="AT31" s="38"/>
      <c r="AU31" s="42"/>
      <c r="AV31" s="47"/>
      <c r="AW31" s="47"/>
      <c r="AX31" s="47"/>
      <c r="AY31" s="38"/>
    </row>
    <row r="32" spans="1:51" ht="15" customHeight="1">
      <c r="A32" s="287" t="s">
        <v>355</v>
      </c>
      <c r="B32" s="287"/>
      <c r="C32" s="62">
        <f>IF($M$132&lt;301001,$C$20*$C$23*$M$151*(100-$D$145)/100,IF($M$132&lt;=301003,"Nie oblicza się",IF($M$132&lt;701001,$C$20*$C$23*$M$151*(100-$D$145)/100,$C$20*$M$151*(100-$D$145)/100)))</f>
        <v>0</v>
      </c>
      <c r="D32" s="62">
        <f>IF($O$132&lt;301001,$E$20*$E$23*$O$151*(100-$I$145)/100,IF($O$132&lt;=301003,"Nie oblicza się",IF($O$132&lt;701001,$E$20*$E$23*$O$151*(100-$I$145)/100,$E$20*$O$151*(100-$I$145)/100)))</f>
        <v>0</v>
      </c>
      <c r="E32" s="62">
        <f>IF(C32-D32&gt;0,C32-D32,0)</f>
        <v>0</v>
      </c>
      <c r="F32" s="63">
        <f>IF(C32=0,0,(E32/C32)*100)</f>
        <v>0</v>
      </c>
      <c r="M32" s="38"/>
      <c r="N32" s="64"/>
      <c r="O32" s="38"/>
      <c r="P32" s="38"/>
      <c r="Q32" s="38"/>
      <c r="R32" s="38"/>
      <c r="S32" s="38"/>
      <c r="T32" s="38"/>
      <c r="U32" s="64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6">
      <c r="A33" s="287" t="s">
        <v>356</v>
      </c>
      <c r="B33" s="287"/>
      <c r="C33" s="62">
        <f>IF($M$132&lt;301001,$C$20*$M$152*(100-$D$146)/100,IF($M$132&lt;=301003,"Nie oblicza się",$C$20*$M$152*(100-$D$146)/100))</f>
        <v>0</v>
      </c>
      <c r="D33" s="62">
        <f>IF($O$132&lt;301001,$E$20*$O$152*(100-$I$146)/100,IF($O$132&lt;=301003,"Nie oblicza się",$E$20*$O$152*(100-$I$146)/100))</f>
        <v>0</v>
      </c>
      <c r="E33" s="62">
        <f t="shared" ref="E33:E35" si="0">IF(C33-D33&gt;0,C33-D33,0)</f>
        <v>0</v>
      </c>
      <c r="F33" s="63">
        <f t="shared" ref="F33:F35" si="1">IF(C33=0,0,(E33/C33)*100)</f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287" t="s">
        <v>40</v>
      </c>
      <c r="B34" s="287"/>
      <c r="C34" s="62">
        <f>IF($M$132&lt;301001,$C$20*$M$154*(100-$D$147)/100,IF($M$132&lt;=301003,"Nie oblicza się",$C$20*$M$154*(100-$D$147)/100))</f>
        <v>0</v>
      </c>
      <c r="D34" s="62">
        <f>IF($O$132&lt;301001,$E$20*$O$154*(100-$I$147)/100,IF($O$132&lt;=301003,"Nie oblicza się",$E$20*$O$154*(100-$I$147)/100))</f>
        <v>0</v>
      </c>
      <c r="E34" s="62">
        <f t="shared" si="0"/>
        <v>0</v>
      </c>
      <c r="F34" s="63">
        <f t="shared" si="1"/>
        <v>0</v>
      </c>
      <c r="J34" s="65"/>
      <c r="M34" s="38"/>
      <c r="N34" s="38"/>
      <c r="O34" s="66"/>
      <c r="P34" s="67"/>
      <c r="Q34" s="67"/>
      <c r="R34" s="68"/>
      <c r="S34" s="38"/>
      <c r="T34" s="38"/>
      <c r="U34" s="38"/>
      <c r="V34" s="66"/>
      <c r="W34" s="67"/>
      <c r="X34" s="67"/>
      <c r="Y34" s="6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>
      <c r="A35" s="287" t="s">
        <v>41</v>
      </c>
      <c r="B35" s="287"/>
      <c r="C35" s="62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2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2">
        <f t="shared" si="0"/>
        <v>0</v>
      </c>
      <c r="F35" s="63">
        <f t="shared" si="1"/>
        <v>0</v>
      </c>
      <c r="M35" s="38"/>
      <c r="N35" s="69"/>
      <c r="O35" s="70"/>
      <c r="P35" s="70"/>
      <c r="Q35" s="70"/>
      <c r="R35" s="70"/>
      <c r="S35" s="70"/>
      <c r="T35" s="38"/>
      <c r="U35" s="69"/>
      <c r="V35" s="70"/>
      <c r="W35" s="70"/>
      <c r="X35" s="70"/>
      <c r="Y35" s="70"/>
      <c r="Z35" s="70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4"/>
      <c r="P36" s="64"/>
      <c r="Q36" s="64"/>
      <c r="R36" s="64"/>
      <c r="S36" s="64"/>
      <c r="T36" s="71"/>
      <c r="U36" s="71"/>
      <c r="V36" s="66"/>
      <c r="Y36" s="6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357</v>
      </c>
      <c r="M37" s="38"/>
      <c r="N37" s="38"/>
      <c r="O37" s="38"/>
      <c r="P37" s="68"/>
      <c r="Q37" s="68"/>
      <c r="R37" s="68"/>
      <c r="S37" s="68"/>
      <c r="T37" s="38"/>
      <c r="U37" s="38"/>
      <c r="V37" s="38"/>
      <c r="W37" s="66"/>
      <c r="X37" s="67"/>
      <c r="Y37" s="6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69" t="s">
        <v>167</v>
      </c>
      <c r="B39" s="269"/>
      <c r="C39" s="269" t="s">
        <v>168</v>
      </c>
      <c r="D39" s="269"/>
      <c r="E39" s="269" t="s">
        <v>112</v>
      </c>
      <c r="F39" s="269"/>
      <c r="M39" s="38"/>
      <c r="N39" s="72"/>
      <c r="O39" s="73"/>
      <c r="P39" s="73"/>
      <c r="Q39" s="73"/>
      <c r="R39" s="73"/>
      <c r="S39" s="73"/>
      <c r="U39" s="72"/>
      <c r="V39" s="73"/>
      <c r="W39" s="73"/>
      <c r="X39" s="73"/>
      <c r="Y39" s="73"/>
      <c r="Z39" s="73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280" t="s">
        <v>411</v>
      </c>
      <c r="B40" s="281"/>
      <c r="C40" s="288"/>
      <c r="D40" s="289"/>
      <c r="E40" s="288"/>
      <c r="F40" s="288"/>
      <c r="M40" s="38"/>
      <c r="N40" s="73"/>
      <c r="O40" s="73"/>
      <c r="P40" s="73"/>
      <c r="Q40" s="73"/>
      <c r="R40" s="73"/>
      <c r="S40" s="73"/>
      <c r="U40" s="73"/>
      <c r="V40" s="73"/>
      <c r="W40" s="73"/>
      <c r="X40" s="73"/>
      <c r="Y40" s="73"/>
      <c r="Z40" s="73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280" t="s">
        <v>191</v>
      </c>
      <c r="B41" s="281"/>
      <c r="C41" s="282"/>
      <c r="D41" s="283"/>
      <c r="E41" s="284"/>
      <c r="F41" s="285"/>
      <c r="M41" s="38"/>
      <c r="N41" s="73"/>
      <c r="O41" s="73"/>
      <c r="P41" s="73"/>
      <c r="Q41" s="73"/>
      <c r="R41" s="73"/>
      <c r="S41" s="73"/>
      <c r="U41" s="73"/>
      <c r="V41" s="73"/>
      <c r="W41" s="73"/>
      <c r="X41" s="73"/>
      <c r="Y41" s="73"/>
      <c r="Z41" s="73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284</v>
      </c>
      <c r="B42" s="52"/>
      <c r="C42" s="74" t="e">
        <f>IF(D42=U201,VLOOKUP(H223,KOBIZE!T7:X57,3),IF(D42=V201,VLOOKUP(H223,KOBIZE!T7:X57,4),"N/d"))</f>
        <v>#N/A</v>
      </c>
      <c r="D42" s="75" t="str">
        <f>IF(C41=O209,V201,IF(C41=O210,V201,IF(C41=O211,V201,IF(C41=O231,V201,IF(C41=O232,V201,IF(C41=H202,"N/d",U201))))))</f>
        <v>MJ/kg</v>
      </c>
      <c r="E42" s="76" t="e">
        <f>IF(F42=U201,VLOOKUP(J223,KOBIZE!T7:X57,3),IF(F42=V201,VLOOKUP(J223,KOBIZE!T7:X57,4),"N/d"))</f>
        <v>#N/A</v>
      </c>
      <c r="F42" s="77" t="str">
        <f>IF(E41=O209,V201,IF(E41=O210,V201,IF(E41=O211,V201,IF(E41=O231,V201,IF(E41=O232,V201,IF(E41=H202,"N/d",U201))))))</f>
        <v>MJ/kg</v>
      </c>
      <c r="M42" s="38"/>
      <c r="N42" s="73"/>
      <c r="O42" s="73"/>
      <c r="P42" s="73"/>
      <c r="Q42" s="73"/>
      <c r="R42" s="73"/>
      <c r="S42" s="73"/>
      <c r="U42" s="73"/>
      <c r="V42" s="73"/>
      <c r="W42" s="73"/>
      <c r="X42" s="73"/>
      <c r="Y42" s="73"/>
      <c r="Z42" s="73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170</v>
      </c>
      <c r="B43" s="52"/>
      <c r="C43" s="78">
        <f>IF(C41=H202,"N/d",IF(D20="mln m3",C20*10^6,IF(D20="m3",C20*E203,IF(D20="ton (Mg)",C20*1000))))</f>
        <v>0</v>
      </c>
      <c r="D43" s="79" t="str">
        <f>IF(D42=U201,"kg/rok",IF(D42=V201,"m3/rok","N/d"))</f>
        <v>kg/rok</v>
      </c>
      <c r="E43" s="78">
        <f>IF(E41=I202,"N/d",IF(F20="mln m3",E20*10^6,IF(F20="m3",E20*E203,IF(F20="ton (Mg)",E20*1000))))</f>
        <v>0</v>
      </c>
      <c r="F43" s="77" t="str">
        <f>IF(F42=U201,"kg/rok",IF(F42=V201,"m3/rok","N/d"))</f>
        <v>kg/rok</v>
      </c>
      <c r="M43" s="38"/>
      <c r="N43" s="73"/>
      <c r="O43" s="73"/>
      <c r="P43" s="73"/>
      <c r="Q43" s="73"/>
      <c r="R43" s="73"/>
      <c r="S43" s="73"/>
      <c r="T43" s="38"/>
      <c r="U43" s="73"/>
      <c r="V43" s="73"/>
      <c r="W43" s="73"/>
      <c r="X43" s="73"/>
      <c r="Y43" s="73"/>
      <c r="Z43" s="73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297" t="s">
        <v>196</v>
      </c>
      <c r="B44" s="298"/>
      <c r="C44" s="299" t="e">
        <f>IF(C42&lt;&gt;"N/d",((C42*C43)/1000),"N/d")</f>
        <v>#N/A</v>
      </c>
      <c r="D44" s="300"/>
      <c r="E44" s="301" t="e">
        <f>IF(E42&lt;&gt;"N/d",((E42*E43)/1000),"N/d")</f>
        <v>#N/A</v>
      </c>
      <c r="F44" s="302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303" t="s">
        <v>197</v>
      </c>
      <c r="B45" s="304"/>
      <c r="C45" s="305" t="e">
        <f>IF(C42&lt;&gt;"N/d",VLOOKUP(H223,KOBIZE!T7:X57,5),"N/d")</f>
        <v>#N/A</v>
      </c>
      <c r="D45" s="269"/>
      <c r="E45" s="305" t="e">
        <f>IF(E42&lt;&gt;"N/d",VLOOKUP(J223,KOBIZE!T7:X57,5),"N/d")</f>
        <v>#N/A</v>
      </c>
      <c r="F45" s="269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279" t="s">
        <v>109</v>
      </c>
      <c r="B47" s="279"/>
      <c r="C47" s="269" t="s">
        <v>110</v>
      </c>
      <c r="D47" s="269"/>
      <c r="E47" s="269" t="s">
        <v>111</v>
      </c>
      <c r="F47" s="269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5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279"/>
      <c r="B48" s="279"/>
      <c r="C48" s="53" t="s">
        <v>115</v>
      </c>
      <c r="D48" s="53" t="s">
        <v>112</v>
      </c>
      <c r="E48" s="53" t="s">
        <v>113</v>
      </c>
      <c r="F48" s="53" t="s">
        <v>114</v>
      </c>
      <c r="K48" s="81"/>
      <c r="M48" s="8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5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>
      <c r="A49" s="290">
        <v>1</v>
      </c>
      <c r="B49" s="291"/>
      <c r="C49" s="53">
        <v>2</v>
      </c>
      <c r="D49" s="53">
        <v>3</v>
      </c>
      <c r="E49" s="53">
        <v>4</v>
      </c>
      <c r="F49" s="53">
        <v>5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42"/>
      <c r="AV49" s="47"/>
      <c r="AW49" s="47"/>
      <c r="AX49" s="47"/>
      <c r="AY49" s="38"/>
    </row>
    <row r="50" spans="1:51" ht="14.25" customHeight="1">
      <c r="A50" s="280" t="s">
        <v>358</v>
      </c>
      <c r="B50" s="281"/>
      <c r="C50" s="83" t="e">
        <f>IF(C44&lt;&gt;"N/d",C44*C45,"N/d")</f>
        <v>#N/A</v>
      </c>
      <c r="D50" s="83" t="e">
        <f>IF(E44&lt;&gt;"N/d",E44*E45,"0")</f>
        <v>#N/A</v>
      </c>
      <c r="E50" s="84" t="e">
        <f>IF(C50&lt;&gt;"N/d",C50-D50,"N/d")</f>
        <v>#N/A</v>
      </c>
      <c r="F50" s="80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296" t="s">
        <v>389</v>
      </c>
      <c r="E55" s="296"/>
      <c r="F55" s="296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>
      <c r="A56" s="42"/>
      <c r="B56" s="85" t="str">
        <f ca="1">TEXT(TODAY(),"dd.mm.rrrr")</f>
        <v>18.02.2025</v>
      </c>
      <c r="C56" s="42"/>
      <c r="D56" s="294" t="s">
        <v>328</v>
      </c>
      <c r="E56" s="294"/>
      <c r="F56" s="294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6" t="s">
        <v>179</v>
      </c>
      <c r="D57" s="295"/>
      <c r="E57" s="295"/>
      <c r="F57" s="295"/>
      <c r="I57" s="6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292" t="s">
        <v>418</v>
      </c>
      <c r="B58" s="293"/>
      <c r="C58" s="293"/>
      <c r="D58" s="293"/>
      <c r="E58" s="293"/>
      <c r="F58" s="293"/>
      <c r="M58" s="88"/>
    </row>
    <row r="62" spans="1:51">
      <c r="I62" s="65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>
      <c r="A85" s="266"/>
      <c r="B85" s="266"/>
      <c r="C85" s="89"/>
    </row>
    <row r="86" spans="1:6">
      <c r="A86" s="267"/>
      <c r="B86" s="267"/>
      <c r="C86" s="87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68" t="s">
        <v>48</v>
      </c>
      <c r="C100" s="268"/>
      <c r="D100" s="268"/>
      <c r="E100" s="268"/>
      <c r="F100" s="268"/>
      <c r="G100" s="268"/>
      <c r="H100" s="268"/>
      <c r="I100" s="268"/>
      <c r="J100" s="268"/>
    </row>
    <row r="101" spans="2:51" hidden="1">
      <c r="B101" s="268"/>
      <c r="C101" s="268"/>
      <c r="D101" s="268"/>
      <c r="E101" s="268"/>
      <c r="F101" s="268"/>
      <c r="G101" s="268"/>
      <c r="H101" s="268"/>
      <c r="I101" s="268"/>
      <c r="J101" s="268"/>
    </row>
    <row r="102" spans="2:51" ht="17.399999999999999" hidden="1">
      <c r="B102" s="268" t="s">
        <v>174</v>
      </c>
      <c r="C102" s="268"/>
      <c r="D102" s="268"/>
      <c r="E102" s="90"/>
      <c r="F102" s="90"/>
      <c r="G102" s="90"/>
      <c r="H102" s="90"/>
      <c r="I102" s="90"/>
      <c r="J102" s="90"/>
    </row>
    <row r="103" spans="2:51" hidden="1">
      <c r="B103" s="261"/>
      <c r="C103" s="261"/>
      <c r="D103" s="261"/>
      <c r="E103" s="261"/>
      <c r="F103" s="261"/>
      <c r="G103" s="261"/>
      <c r="H103" s="261"/>
      <c r="I103" s="261"/>
      <c r="J103" s="261"/>
      <c r="R103" s="37" t="s">
        <v>299</v>
      </c>
      <c r="T103" s="70" t="s">
        <v>29</v>
      </c>
    </row>
    <row r="104" spans="2:51" ht="17.399999999999999" hidden="1">
      <c r="B104" s="90"/>
      <c r="C104" s="90"/>
      <c r="D104" s="90"/>
      <c r="E104" s="90"/>
      <c r="F104" s="90"/>
      <c r="G104" s="90"/>
      <c r="H104" s="90"/>
      <c r="I104" s="90"/>
      <c r="J104" s="90"/>
      <c r="R104" s="37" t="s">
        <v>183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1" hidden="1">
      <c r="B105" s="265" t="s">
        <v>29</v>
      </c>
      <c r="C105" s="265"/>
      <c r="D105" s="265"/>
      <c r="E105" s="265"/>
      <c r="F105" s="91"/>
      <c r="G105" s="265" t="s">
        <v>30</v>
      </c>
      <c r="H105" s="265"/>
      <c r="I105" s="265"/>
      <c r="J105" s="265"/>
      <c r="R105" s="37" t="s">
        <v>184</v>
      </c>
      <c r="T105" s="37" t="str">
        <f>IF(C11=R106,R118,"")</f>
        <v/>
      </c>
    </row>
    <row r="106" spans="2:51" ht="17.399999999999999" hidden="1">
      <c r="B106" s="90"/>
      <c r="C106" s="90"/>
      <c r="D106" s="90"/>
      <c r="E106" s="90"/>
      <c r="F106" s="91"/>
      <c r="G106" s="90"/>
      <c r="H106" s="90"/>
      <c r="I106" s="90"/>
      <c r="J106" s="90"/>
      <c r="R106" s="37" t="s">
        <v>186</v>
      </c>
    </row>
    <row r="107" spans="2:51" ht="17.399999999999999" hidden="1">
      <c r="B107" s="90"/>
      <c r="C107" s="90"/>
      <c r="D107" s="90"/>
      <c r="E107" s="90"/>
      <c r="F107" s="91"/>
      <c r="G107" s="90"/>
      <c r="H107" s="90"/>
      <c r="I107" s="90"/>
      <c r="J107" s="90"/>
      <c r="R107" s="37" t="s">
        <v>185</v>
      </c>
      <c r="T107" s="70" t="s">
        <v>30</v>
      </c>
    </row>
    <row r="108" spans="2:51" ht="17.399999999999999" hidden="1">
      <c r="B108" s="261" t="s">
        <v>175</v>
      </c>
      <c r="C108" s="261"/>
      <c r="D108" s="261"/>
      <c r="E108" s="261"/>
      <c r="F108" s="91"/>
      <c r="G108" s="261" t="s">
        <v>175</v>
      </c>
      <c r="H108" s="261"/>
      <c r="I108" s="261"/>
      <c r="J108" s="261"/>
      <c r="R108" s="37" t="s">
        <v>187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7.399999999999999" hidden="1">
      <c r="B109" s="261"/>
      <c r="C109" s="261"/>
      <c r="D109" s="261"/>
      <c r="E109" s="261"/>
      <c r="F109" s="91"/>
      <c r="G109" s="262"/>
      <c r="H109" s="261"/>
      <c r="I109" s="261"/>
      <c r="J109" s="261"/>
      <c r="R109" s="37" t="s">
        <v>117</v>
      </c>
      <c r="T109" s="37" t="str">
        <f>IF(E11=R106,R118,"")</f>
        <v/>
      </c>
    </row>
    <row r="110" spans="2:51" ht="17.399999999999999" hidden="1">
      <c r="B110" s="90"/>
      <c r="C110" s="90"/>
      <c r="D110" s="90"/>
      <c r="E110" s="90"/>
      <c r="F110" s="91"/>
      <c r="G110" s="90"/>
      <c r="H110" s="90"/>
      <c r="I110" s="90"/>
      <c r="J110" s="90"/>
      <c r="R110" s="37" t="s">
        <v>275</v>
      </c>
    </row>
    <row r="111" spans="2:51" ht="17.399999999999999" hidden="1">
      <c r="B111" s="261" t="s">
        <v>180</v>
      </c>
      <c r="C111" s="261"/>
      <c r="D111" s="90"/>
      <c r="E111" s="90"/>
      <c r="F111" s="91"/>
      <c r="G111" s="261" t="s">
        <v>180</v>
      </c>
      <c r="H111" s="261"/>
      <c r="I111" s="90"/>
      <c r="J111" s="90"/>
    </row>
    <row r="112" spans="2:51" ht="26.4" hidden="1">
      <c r="B112" s="242"/>
      <c r="C112" s="242"/>
      <c r="D112" s="242"/>
      <c r="E112" s="263"/>
      <c r="F112" s="92"/>
      <c r="G112" s="264"/>
      <c r="H112" s="242"/>
      <c r="I112" s="242"/>
      <c r="J112" s="242"/>
      <c r="Q112" s="93"/>
      <c r="R112" s="94"/>
      <c r="AN112" s="95"/>
      <c r="AO112" s="96" t="s">
        <v>0</v>
      </c>
      <c r="AP112" s="97" t="s">
        <v>1</v>
      </c>
      <c r="AQ112" s="95"/>
      <c r="AR112" s="95"/>
      <c r="AS112" s="95"/>
      <c r="AT112" s="95"/>
      <c r="AU112" s="95"/>
      <c r="AV112" s="95"/>
      <c r="AW112" s="95"/>
      <c r="AX112" s="95"/>
      <c r="AY112" s="95"/>
    </row>
    <row r="113" spans="2:55" ht="21" hidden="1">
      <c r="F113" s="92"/>
      <c r="M113" s="98" t="s">
        <v>29</v>
      </c>
      <c r="O113" s="98" t="s">
        <v>30</v>
      </c>
      <c r="Q113" s="93">
        <v>1</v>
      </c>
      <c r="R113" s="94" t="s">
        <v>117</v>
      </c>
      <c r="AM113" s="99"/>
      <c r="AN113" s="100" t="s">
        <v>359</v>
      </c>
      <c r="AO113" s="100" t="s">
        <v>360</v>
      </c>
      <c r="AP113" s="101" t="s">
        <v>360</v>
      </c>
      <c r="AQ113" s="100" t="s">
        <v>361</v>
      </c>
      <c r="AR113" s="100" t="s">
        <v>4</v>
      </c>
      <c r="AS113" s="100" t="s">
        <v>5</v>
      </c>
      <c r="AT113" s="102"/>
      <c r="AU113" s="102"/>
      <c r="AV113" s="102"/>
      <c r="AW113" s="102"/>
      <c r="AX113" s="102"/>
      <c r="AY113" s="102"/>
    </row>
    <row r="114" spans="2:55" hidden="1">
      <c r="B114" s="258" t="s">
        <v>2</v>
      </c>
      <c r="C114" s="258"/>
      <c r="D114" s="258"/>
      <c r="E114" s="258"/>
      <c r="F114" s="92"/>
      <c r="G114" s="258" t="s">
        <v>2</v>
      </c>
      <c r="H114" s="258"/>
      <c r="I114" s="258"/>
      <c r="J114" s="258"/>
      <c r="Q114" s="93">
        <v>2</v>
      </c>
      <c r="R114" s="94" t="s">
        <v>144</v>
      </c>
      <c r="T114" s="93">
        <v>1</v>
      </c>
      <c r="U114" s="94" t="s">
        <v>3</v>
      </c>
      <c r="AM114" s="99">
        <v>0</v>
      </c>
      <c r="AN114" s="99">
        <v>0</v>
      </c>
      <c r="AO114" s="99">
        <v>0</v>
      </c>
      <c r="AP114" s="103">
        <v>0</v>
      </c>
      <c r="AQ114" s="99">
        <v>0</v>
      </c>
      <c r="AR114" s="99">
        <v>0</v>
      </c>
      <c r="AS114" s="99">
        <v>0</v>
      </c>
    </row>
    <row r="115" spans="2:55" ht="14.4" hidden="1" thickBot="1">
      <c r="F115" s="92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3">
        <v>3</v>
      </c>
      <c r="R115" s="94" t="s">
        <v>15</v>
      </c>
      <c r="T115" s="93">
        <v>2</v>
      </c>
      <c r="U115" s="94" t="s">
        <v>6</v>
      </c>
      <c r="AK115" s="104" t="s">
        <v>152</v>
      </c>
      <c r="AL115" s="104"/>
      <c r="AM115" s="104">
        <v>100001</v>
      </c>
      <c r="AN115" s="105">
        <v>0</v>
      </c>
      <c r="AO115" s="105">
        <v>0</v>
      </c>
      <c r="AP115" s="106">
        <v>0</v>
      </c>
      <c r="AQ115" s="105">
        <v>0</v>
      </c>
      <c r="AR115" s="105">
        <v>0</v>
      </c>
      <c r="AS115" s="105">
        <v>0</v>
      </c>
      <c r="AT115" s="93"/>
      <c r="AV115" s="93"/>
      <c r="AW115" s="93"/>
      <c r="AX115" s="93"/>
      <c r="AZ115" s="94"/>
      <c r="BA115" s="107"/>
      <c r="BB115" s="107"/>
      <c r="BC115" s="94"/>
    </row>
    <row r="116" spans="2:55" hidden="1">
      <c r="B116" s="258"/>
      <c r="C116" s="258"/>
      <c r="D116" s="258"/>
      <c r="E116" s="258"/>
      <c r="F116" s="92"/>
      <c r="G116" s="258"/>
      <c r="H116" s="258"/>
      <c r="I116" s="258"/>
      <c r="J116" s="258"/>
      <c r="Q116" s="93">
        <v>4</v>
      </c>
      <c r="R116" s="94" t="s">
        <v>145</v>
      </c>
      <c r="AK116" s="243" t="s">
        <v>13</v>
      </c>
      <c r="AL116" s="108">
        <v>1</v>
      </c>
      <c r="AM116" s="108">
        <v>201001</v>
      </c>
      <c r="AN116" s="109">
        <v>17</v>
      </c>
      <c r="AO116" s="109">
        <v>4</v>
      </c>
      <c r="AP116" s="110"/>
      <c r="AQ116" s="110"/>
      <c r="AR116" s="109">
        <v>5</v>
      </c>
      <c r="AS116" s="109">
        <v>3</v>
      </c>
      <c r="AT116" s="93"/>
      <c r="AV116" s="93"/>
      <c r="AW116" s="93"/>
      <c r="AX116" s="93"/>
      <c r="AZ116" s="94"/>
      <c r="BA116" s="107"/>
      <c r="BB116" s="107"/>
      <c r="BC116" s="94"/>
    </row>
    <row r="117" spans="2:55" hidden="1">
      <c r="B117" s="258" t="s">
        <v>9</v>
      </c>
      <c r="C117" s="258"/>
      <c r="D117" s="258"/>
      <c r="E117" s="258"/>
      <c r="F117" s="92"/>
      <c r="G117" s="258" t="s">
        <v>9</v>
      </c>
      <c r="H117" s="258"/>
      <c r="I117" s="258"/>
      <c r="J117" s="258"/>
      <c r="Q117" s="93">
        <v>5</v>
      </c>
      <c r="R117" s="94" t="s">
        <v>149</v>
      </c>
      <c r="T117" s="93">
        <v>1</v>
      </c>
      <c r="U117" s="94" t="s">
        <v>10</v>
      </c>
      <c r="AK117" s="244"/>
      <c r="AL117" s="99">
        <v>2</v>
      </c>
      <c r="AM117" s="99">
        <v>201002</v>
      </c>
      <c r="AN117" s="111">
        <v>16</v>
      </c>
      <c r="AO117" s="111">
        <v>4</v>
      </c>
      <c r="AP117" s="112"/>
      <c r="AQ117" s="112"/>
      <c r="AR117" s="111">
        <v>10</v>
      </c>
      <c r="AS117" s="111">
        <v>2.5</v>
      </c>
      <c r="AT117" s="93"/>
      <c r="AV117" s="93"/>
      <c r="AW117" s="93"/>
      <c r="AX117" s="93"/>
      <c r="AZ117" s="94"/>
      <c r="BA117" s="107"/>
      <c r="BB117" s="107"/>
      <c r="BC117" s="94"/>
    </row>
    <row r="118" spans="2:55" hidden="1">
      <c r="F118" s="92"/>
      <c r="M118" s="37">
        <f>IF($C$15=$R$125,$Q$125,IF($C$15=$R$126,$Q$126,0))</f>
        <v>0</v>
      </c>
      <c r="O118" s="37">
        <f>IF($E$15=$R$125,$Q$125,IF($E$15=$R$126,$Q$126,0))</f>
        <v>0</v>
      </c>
      <c r="Q118" s="93">
        <v>6</v>
      </c>
      <c r="R118" s="94" t="s">
        <v>150</v>
      </c>
      <c r="T118" s="93">
        <v>2</v>
      </c>
      <c r="U118" s="94" t="s">
        <v>147</v>
      </c>
      <c r="AK118" s="244"/>
      <c r="AL118" s="99">
        <v>3</v>
      </c>
      <c r="AM118" s="99">
        <v>201003</v>
      </c>
      <c r="AN118" s="111">
        <v>16</v>
      </c>
      <c r="AO118" s="111">
        <v>4</v>
      </c>
      <c r="AP118" s="112"/>
      <c r="AQ118" s="112"/>
      <c r="AR118" s="111">
        <v>20</v>
      </c>
      <c r="AS118" s="111">
        <v>2</v>
      </c>
      <c r="AT118" s="93"/>
      <c r="AV118" s="93"/>
      <c r="AW118" s="93"/>
      <c r="AX118" s="93"/>
      <c r="AZ118" s="94"/>
      <c r="BA118" s="107"/>
      <c r="BB118" s="107"/>
      <c r="BC118" s="94"/>
    </row>
    <row r="119" spans="2:55" hidden="1">
      <c r="B119" s="258"/>
      <c r="C119" s="258"/>
      <c r="D119" s="258"/>
      <c r="E119" s="258"/>
      <c r="F119" s="92"/>
      <c r="G119" s="258"/>
      <c r="H119" s="258"/>
      <c r="I119" s="258"/>
      <c r="J119" s="258"/>
      <c r="Q119" s="93">
        <v>7</v>
      </c>
      <c r="R119" s="94" t="s">
        <v>146</v>
      </c>
      <c r="AK119" s="244"/>
      <c r="AL119" s="99">
        <v>4</v>
      </c>
      <c r="AM119" s="99">
        <v>202111</v>
      </c>
      <c r="AN119" s="111">
        <v>16</v>
      </c>
      <c r="AO119" s="111">
        <v>1</v>
      </c>
      <c r="AP119" s="112"/>
      <c r="AQ119" s="112"/>
      <c r="AR119" s="111">
        <v>45</v>
      </c>
      <c r="AS119" s="111">
        <v>1.5</v>
      </c>
      <c r="AT119" s="93"/>
      <c r="AV119" s="93"/>
      <c r="AW119" s="93"/>
      <c r="AX119" s="93"/>
      <c r="AZ119" s="94"/>
      <c r="BA119" s="107"/>
      <c r="BB119" s="107"/>
      <c r="BC119" s="94"/>
    </row>
    <row r="120" spans="2:55" hidden="1">
      <c r="B120" s="258" t="s">
        <v>25</v>
      </c>
      <c r="C120" s="258"/>
      <c r="D120" s="258"/>
      <c r="E120" s="258"/>
      <c r="F120" s="92"/>
      <c r="G120" s="258" t="s">
        <v>25</v>
      </c>
      <c r="H120" s="258"/>
      <c r="I120" s="258"/>
      <c r="J120" s="258"/>
      <c r="Q120" s="93">
        <v>8</v>
      </c>
      <c r="R120" s="94" t="s">
        <v>275</v>
      </c>
      <c r="T120" s="93">
        <v>1</v>
      </c>
      <c r="U120" s="94" t="s">
        <v>14</v>
      </c>
      <c r="AK120" s="244"/>
      <c r="AL120" s="99">
        <v>5</v>
      </c>
      <c r="AM120" s="99">
        <v>202112</v>
      </c>
      <c r="AN120" s="111">
        <v>16</v>
      </c>
      <c r="AO120" s="111">
        <v>1</v>
      </c>
      <c r="AP120" s="112"/>
      <c r="AQ120" s="112"/>
      <c r="AR120" s="111">
        <v>45</v>
      </c>
      <c r="AS120" s="111">
        <v>1.5</v>
      </c>
      <c r="AT120" s="93"/>
      <c r="AV120" s="93"/>
      <c r="AW120" s="93"/>
      <c r="AX120" s="93"/>
      <c r="AZ120" s="94"/>
      <c r="BA120" s="107"/>
      <c r="BB120" s="107"/>
      <c r="BC120" s="94"/>
    </row>
    <row r="121" spans="2:55" hidden="1">
      <c r="F121" s="92"/>
      <c r="M121" s="37">
        <f>IF($C$14=$U$114,$T$114,IF($C$14=$U$115,$T$115,0))</f>
        <v>0</v>
      </c>
      <c r="O121" s="37">
        <f>IF($E$14=$U$114,$T$114,IF($E$14=$U$115,$T$115,0))</f>
        <v>0</v>
      </c>
      <c r="Q121" s="93">
        <v>9</v>
      </c>
      <c r="R121" s="94" t="s">
        <v>299</v>
      </c>
      <c r="T121" s="93">
        <v>2</v>
      </c>
      <c r="U121" s="94" t="s">
        <v>16</v>
      </c>
      <c r="AK121" s="244"/>
      <c r="AL121" s="99">
        <v>6</v>
      </c>
      <c r="AM121" s="99">
        <v>202121</v>
      </c>
      <c r="AN121" s="111">
        <v>16</v>
      </c>
      <c r="AO121" s="111">
        <v>1.5</v>
      </c>
      <c r="AP121" s="112"/>
      <c r="AQ121" s="112"/>
      <c r="AR121" s="111">
        <v>45</v>
      </c>
      <c r="AS121" s="111">
        <v>2</v>
      </c>
      <c r="AT121" s="93"/>
      <c r="AV121" s="93"/>
      <c r="AW121" s="93"/>
      <c r="AX121" s="93"/>
      <c r="AZ121" s="94"/>
      <c r="BA121" s="107"/>
      <c r="BB121" s="107"/>
      <c r="BC121" s="94"/>
    </row>
    <row r="122" spans="2:55" hidden="1">
      <c r="B122" s="258"/>
      <c r="C122" s="258"/>
      <c r="D122" s="258"/>
      <c r="E122" s="258"/>
      <c r="F122" s="92"/>
      <c r="G122" s="258"/>
      <c r="H122" s="258"/>
      <c r="I122" s="258"/>
      <c r="J122" s="258"/>
      <c r="M122" s="37">
        <f>M115*1000+M118*100+M121*10</f>
        <v>0</v>
      </c>
      <c r="O122" s="37">
        <f>O115*1000+O118*100+O121*10</f>
        <v>0</v>
      </c>
      <c r="Q122" s="93"/>
      <c r="R122" s="94"/>
      <c r="AK122" s="244"/>
      <c r="AL122" s="99">
        <v>7</v>
      </c>
      <c r="AM122" s="99">
        <v>202122</v>
      </c>
      <c r="AN122" s="111">
        <v>16</v>
      </c>
      <c r="AO122" s="111">
        <v>1.5</v>
      </c>
      <c r="AP122" s="112"/>
      <c r="AQ122" s="112"/>
      <c r="AR122" s="111">
        <v>45</v>
      </c>
      <c r="AS122" s="111">
        <v>2</v>
      </c>
      <c r="AT122" s="93"/>
      <c r="AV122" s="93"/>
      <c r="AW122" s="93"/>
      <c r="AX122" s="93"/>
      <c r="AZ122" s="94"/>
      <c r="BA122" s="107"/>
      <c r="BB122" s="107"/>
      <c r="BC122" s="94"/>
    </row>
    <row r="123" spans="2:55" hidden="1">
      <c r="B123" s="258" t="s">
        <v>26</v>
      </c>
      <c r="C123" s="258"/>
      <c r="D123" s="258"/>
      <c r="E123" s="258"/>
      <c r="F123" s="92"/>
      <c r="G123" s="258" t="s">
        <v>26</v>
      </c>
      <c r="H123" s="258"/>
      <c r="I123" s="258"/>
      <c r="J123" s="258"/>
      <c r="Q123" s="93"/>
      <c r="T123" s="93">
        <v>1</v>
      </c>
      <c r="U123" s="94" t="s">
        <v>17</v>
      </c>
      <c r="AK123" s="244"/>
      <c r="AL123" s="99">
        <v>8</v>
      </c>
      <c r="AM123" s="99">
        <v>202211</v>
      </c>
      <c r="AN123" s="111">
        <v>16</v>
      </c>
      <c r="AO123" s="111">
        <v>1</v>
      </c>
      <c r="AP123" s="112"/>
      <c r="AQ123" s="112"/>
      <c r="AR123" s="111">
        <v>100</v>
      </c>
      <c r="AS123" s="111">
        <v>1.5</v>
      </c>
      <c r="AT123" s="93"/>
      <c r="AV123" s="93"/>
      <c r="AW123" s="93"/>
      <c r="AX123" s="93"/>
      <c r="AZ123" s="94"/>
      <c r="BA123" s="107"/>
      <c r="BB123" s="107"/>
      <c r="BC123" s="94"/>
    </row>
    <row r="124" spans="2:55" ht="14.4" hidden="1" thickBot="1">
      <c r="F124" s="92"/>
      <c r="M124" s="37">
        <f>IF($C$16=$U$117,$T$117,IF($C$16=$U$118,$T$118,0))</f>
        <v>0</v>
      </c>
      <c r="O124" s="37">
        <f>IF($E$16=$U$117,$T$117,IF($E$16=$U$118,$T$118,0))</f>
        <v>0</v>
      </c>
      <c r="Q124" s="93"/>
      <c r="T124" s="93">
        <v>2</v>
      </c>
      <c r="U124" s="94" t="s">
        <v>18</v>
      </c>
      <c r="AK124" s="245"/>
      <c r="AL124" s="104">
        <v>9</v>
      </c>
      <c r="AM124" s="104">
        <v>202221</v>
      </c>
      <c r="AN124" s="105">
        <v>16</v>
      </c>
      <c r="AO124" s="105">
        <v>1.5</v>
      </c>
      <c r="AP124" s="106"/>
      <c r="AQ124" s="106"/>
      <c r="AR124" s="105">
        <v>100</v>
      </c>
      <c r="AS124" s="105">
        <v>2</v>
      </c>
      <c r="AT124" s="93"/>
      <c r="AV124" s="93"/>
      <c r="AW124" s="93"/>
      <c r="AX124" s="93"/>
      <c r="AZ124" s="94"/>
      <c r="BA124" s="107"/>
      <c r="BB124" s="107"/>
      <c r="BC124" s="94"/>
    </row>
    <row r="125" spans="2:55" hidden="1">
      <c r="B125" s="258"/>
      <c r="C125" s="258"/>
      <c r="D125" s="258"/>
      <c r="E125" s="258"/>
      <c r="F125" s="92"/>
      <c r="G125" s="258"/>
      <c r="H125" s="258"/>
      <c r="I125" s="258"/>
      <c r="J125" s="258"/>
      <c r="Q125" s="93">
        <v>1</v>
      </c>
      <c r="R125" s="94" t="s">
        <v>116</v>
      </c>
      <c r="T125" s="93">
        <v>0</v>
      </c>
      <c r="U125" s="94" t="s">
        <v>19</v>
      </c>
      <c r="AK125" s="243" t="s">
        <v>15</v>
      </c>
      <c r="AL125" s="108">
        <v>1</v>
      </c>
      <c r="AM125" s="108">
        <v>301001</v>
      </c>
      <c r="AN125" s="109" t="s">
        <v>159</v>
      </c>
      <c r="AO125" s="109" t="s">
        <v>159</v>
      </c>
      <c r="AP125" s="110"/>
      <c r="AQ125" s="110"/>
      <c r="AR125" s="109" t="s">
        <v>159</v>
      </c>
      <c r="AS125" s="109" t="s">
        <v>159</v>
      </c>
      <c r="AT125" s="93"/>
      <c r="AV125" s="93"/>
      <c r="AW125" s="93"/>
      <c r="AX125" s="93"/>
      <c r="AZ125" s="94"/>
      <c r="BA125" s="107"/>
      <c r="BB125" s="107"/>
      <c r="BC125" s="94"/>
    </row>
    <row r="126" spans="2:55" hidden="1">
      <c r="B126" s="258" t="s">
        <v>27</v>
      </c>
      <c r="C126" s="258"/>
      <c r="D126" s="258"/>
      <c r="E126" s="258"/>
      <c r="F126" s="92"/>
      <c r="G126" s="258" t="s">
        <v>27</v>
      </c>
      <c r="H126" s="258"/>
      <c r="I126" s="258"/>
      <c r="J126" s="258"/>
      <c r="Q126" s="93">
        <v>2</v>
      </c>
      <c r="R126" s="94" t="s">
        <v>20</v>
      </c>
      <c r="AK126" s="244"/>
      <c r="AL126" s="99">
        <v>2</v>
      </c>
      <c r="AM126" s="99">
        <v>301002</v>
      </c>
      <c r="AN126" s="111" t="s">
        <v>159</v>
      </c>
      <c r="AO126" s="111" t="s">
        <v>159</v>
      </c>
      <c r="AP126" s="112"/>
      <c r="AQ126" s="112"/>
      <c r="AR126" s="111" t="s">
        <v>159</v>
      </c>
      <c r="AS126" s="111" t="s">
        <v>159</v>
      </c>
      <c r="AT126" s="93"/>
      <c r="AV126" s="93"/>
      <c r="AW126" s="93"/>
      <c r="AX126" s="93"/>
      <c r="AZ126" s="94"/>
      <c r="BA126" s="107"/>
      <c r="BB126" s="107"/>
      <c r="BC126" s="94"/>
    </row>
    <row r="127" spans="2:55" hidden="1">
      <c r="F127" s="92"/>
      <c r="M127" s="37">
        <f>IF($C$17=$U$120,$T$120,IF($C$17=$U$121,$T$121,0))</f>
        <v>0</v>
      </c>
      <c r="O127" s="37">
        <f>IF($E$17=$U$120,$T$120,IF($E$17=$U$121,$T$121,0))</f>
        <v>0</v>
      </c>
      <c r="T127" s="93">
        <v>1</v>
      </c>
      <c r="U127" s="94" t="s">
        <v>21</v>
      </c>
      <c r="AK127" s="244"/>
      <c r="AL127" s="99">
        <v>3</v>
      </c>
      <c r="AM127" s="99">
        <v>301003</v>
      </c>
      <c r="AN127" s="111" t="s">
        <v>159</v>
      </c>
      <c r="AO127" s="111" t="s">
        <v>159</v>
      </c>
      <c r="AP127" s="103"/>
      <c r="AQ127" s="112"/>
      <c r="AR127" s="111" t="s">
        <v>159</v>
      </c>
      <c r="AS127" s="111" t="s">
        <v>159</v>
      </c>
      <c r="AT127" s="93"/>
      <c r="AU127" s="93"/>
      <c r="AV127" s="93"/>
      <c r="AW127" s="93"/>
      <c r="AX127" s="93"/>
      <c r="AZ127" s="94"/>
      <c r="BA127" s="107"/>
      <c r="BB127" s="107"/>
      <c r="BC127" s="94"/>
    </row>
    <row r="128" spans="2:55" hidden="1">
      <c r="B128" s="258"/>
      <c r="C128" s="258"/>
      <c r="D128" s="258"/>
      <c r="E128" s="258"/>
      <c r="F128" s="92"/>
      <c r="G128" s="258"/>
      <c r="H128" s="258"/>
      <c r="I128" s="258"/>
      <c r="J128" s="258"/>
      <c r="M128" s="37">
        <f>M115*10000+M118*1000+M121*100+M124*10+M127</f>
        <v>0</v>
      </c>
      <c r="O128" s="37">
        <f>O115*10000+O118*1000+O121*100+O124*10+O127</f>
        <v>0</v>
      </c>
      <c r="T128" s="93">
        <v>2</v>
      </c>
      <c r="U128" s="94" t="s">
        <v>22</v>
      </c>
      <c r="AK128" s="244"/>
      <c r="AL128" s="99">
        <v>4</v>
      </c>
      <c r="AM128" s="99">
        <v>302111</v>
      </c>
      <c r="AN128" s="111">
        <v>16</v>
      </c>
      <c r="AO128" s="111">
        <v>1.5</v>
      </c>
      <c r="AP128" s="112"/>
      <c r="AQ128" s="112"/>
      <c r="AR128" s="111">
        <v>25</v>
      </c>
      <c r="AS128" s="111">
        <v>1.5</v>
      </c>
      <c r="AT128" s="93"/>
      <c r="AV128" s="93"/>
      <c r="AW128" s="93"/>
      <c r="AX128" s="93"/>
      <c r="AZ128" s="94"/>
      <c r="BA128" s="107"/>
      <c r="BB128" s="107"/>
      <c r="BC128" s="94"/>
    </row>
    <row r="129" spans="2:55" hidden="1">
      <c r="B129" s="258" t="s">
        <v>28</v>
      </c>
      <c r="C129" s="258"/>
      <c r="D129" s="258"/>
      <c r="E129" s="258"/>
      <c r="F129" s="92"/>
      <c r="G129" s="258" t="s">
        <v>28</v>
      </c>
      <c r="H129" s="258"/>
      <c r="I129" s="258"/>
      <c r="J129" s="258"/>
      <c r="Q129" s="93">
        <v>1</v>
      </c>
      <c r="R129" s="94" t="s">
        <v>7</v>
      </c>
      <c r="T129" s="93">
        <v>3</v>
      </c>
      <c r="U129" s="94" t="s">
        <v>23</v>
      </c>
      <c r="AK129" s="244"/>
      <c r="AL129" s="99">
        <v>5</v>
      </c>
      <c r="AM129" s="99">
        <v>302112</v>
      </c>
      <c r="AN129" s="111">
        <v>16</v>
      </c>
      <c r="AO129" s="111">
        <v>1.5</v>
      </c>
      <c r="AP129" s="112"/>
      <c r="AQ129" s="112"/>
      <c r="AR129" s="111">
        <v>25</v>
      </c>
      <c r="AS129" s="111">
        <v>1.5</v>
      </c>
      <c r="AT129" s="93"/>
      <c r="AV129" s="93"/>
      <c r="AW129" s="93"/>
      <c r="AX129" s="93"/>
      <c r="AZ129" s="94"/>
      <c r="BA129" s="107"/>
      <c r="BB129" s="107"/>
      <c r="BC129" s="94"/>
    </row>
    <row r="130" spans="2:55" hidden="1">
      <c r="F130" s="92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3">
        <v>2</v>
      </c>
      <c r="R130" s="94" t="s">
        <v>8</v>
      </c>
      <c r="AK130" s="244"/>
      <c r="AL130" s="99">
        <v>6</v>
      </c>
      <c r="AM130" s="99">
        <v>302121</v>
      </c>
      <c r="AN130" s="111">
        <v>16</v>
      </c>
      <c r="AO130" s="111">
        <v>2</v>
      </c>
      <c r="AP130" s="112"/>
      <c r="AQ130" s="112"/>
      <c r="AR130" s="111">
        <v>25</v>
      </c>
      <c r="AS130" s="111">
        <v>2</v>
      </c>
      <c r="AT130" s="93"/>
      <c r="AV130" s="93"/>
      <c r="AW130" s="93"/>
      <c r="AX130" s="93"/>
      <c r="AZ130" s="94"/>
      <c r="BA130" s="107"/>
      <c r="BB130" s="107"/>
      <c r="BC130" s="94"/>
    </row>
    <row r="131" spans="2:55" hidden="1">
      <c r="F131" s="92"/>
      <c r="Q131" s="93">
        <v>3</v>
      </c>
      <c r="R131" s="94" t="s">
        <v>24</v>
      </c>
      <c r="T131" s="93"/>
      <c r="U131" s="94"/>
      <c r="AK131" s="244"/>
      <c r="AL131" s="99">
        <v>7</v>
      </c>
      <c r="AM131" s="99">
        <v>302122</v>
      </c>
      <c r="AN131" s="111">
        <v>16</v>
      </c>
      <c r="AO131" s="111">
        <v>2</v>
      </c>
      <c r="AP131" s="112"/>
      <c r="AQ131" s="112"/>
      <c r="AR131" s="111">
        <v>25</v>
      </c>
      <c r="AS131" s="111">
        <v>2</v>
      </c>
      <c r="AT131" s="93"/>
      <c r="AU131" s="93"/>
      <c r="AV131" s="93"/>
      <c r="AW131" s="93"/>
      <c r="AX131" s="93"/>
      <c r="AZ131" s="94"/>
      <c r="BA131" s="107"/>
      <c r="BB131" s="107"/>
      <c r="BC131" s="94"/>
    </row>
    <row r="132" spans="2:55" hidden="1">
      <c r="B132" s="258" t="s">
        <v>31</v>
      </c>
      <c r="C132" s="258"/>
      <c r="D132" s="258"/>
      <c r="E132" s="258"/>
      <c r="F132" s="92"/>
      <c r="G132" s="258" t="s">
        <v>43</v>
      </c>
      <c r="H132" s="258"/>
      <c r="I132" s="258"/>
      <c r="J132" s="258"/>
      <c r="M132" s="37">
        <f>M130+M127*10+M124*100+M121*1000+M118*10000+M115*100000</f>
        <v>4</v>
      </c>
      <c r="O132" s="37">
        <f>O130+O127*10+O124*100+O121*1000+O118*10000+O115*100000</f>
        <v>4</v>
      </c>
      <c r="Q132" s="93">
        <v>4</v>
      </c>
      <c r="R132" s="94" t="s">
        <v>204</v>
      </c>
      <c r="T132" s="93"/>
      <c r="U132" s="94"/>
      <c r="AK132" s="244"/>
      <c r="AL132" s="99">
        <v>8</v>
      </c>
      <c r="AM132" s="99">
        <v>302211</v>
      </c>
      <c r="AN132" s="111">
        <v>16</v>
      </c>
      <c r="AO132" s="111">
        <v>1.5</v>
      </c>
      <c r="AP132" s="112"/>
      <c r="AQ132" s="112"/>
      <c r="AR132" s="111">
        <v>25</v>
      </c>
      <c r="AS132" s="111">
        <v>1.5</v>
      </c>
      <c r="AT132" s="93"/>
      <c r="AU132" s="93"/>
      <c r="AV132" s="93"/>
      <c r="AW132" s="93"/>
      <c r="AX132" s="93"/>
      <c r="AZ132" s="94"/>
      <c r="BA132" s="107"/>
      <c r="BB132" s="107"/>
      <c r="BC132" s="94"/>
    </row>
    <row r="133" spans="2:55" ht="14.4" hidden="1" thickBot="1">
      <c r="B133" s="113" t="s">
        <v>32</v>
      </c>
      <c r="C133" s="260"/>
      <c r="D133" s="260"/>
      <c r="F133" s="92"/>
      <c r="G133" s="113" t="s">
        <v>32</v>
      </c>
      <c r="H133" s="260"/>
      <c r="I133" s="260"/>
      <c r="R133" s="94" t="s">
        <v>11</v>
      </c>
      <c r="AK133" s="245"/>
      <c r="AL133" s="104">
        <v>9</v>
      </c>
      <c r="AM133" s="104">
        <v>302221</v>
      </c>
      <c r="AN133" s="105">
        <v>16</v>
      </c>
      <c r="AO133" s="105">
        <v>2</v>
      </c>
      <c r="AP133" s="106"/>
      <c r="AQ133" s="106"/>
      <c r="AR133" s="105">
        <v>25</v>
      </c>
      <c r="AS133" s="105">
        <v>2</v>
      </c>
      <c r="AT133" s="93"/>
      <c r="AU133" s="93"/>
      <c r="AV133" s="93"/>
      <c r="AW133" s="93"/>
      <c r="AX133" s="93"/>
      <c r="AZ133" s="94"/>
      <c r="BA133" s="107"/>
      <c r="BB133" s="107"/>
      <c r="BC133" s="94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2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4" t="s">
        <v>12</v>
      </c>
      <c r="AK134" s="243" t="s">
        <v>153</v>
      </c>
      <c r="AL134" s="108">
        <v>1</v>
      </c>
      <c r="AM134" s="108">
        <v>400001</v>
      </c>
      <c r="AN134" s="109">
        <v>19</v>
      </c>
      <c r="AO134" s="109">
        <v>6.5</v>
      </c>
      <c r="AP134" s="110"/>
      <c r="AQ134" s="110"/>
      <c r="AR134" s="109">
        <v>0.5</v>
      </c>
      <c r="AS134" s="109">
        <v>1</v>
      </c>
      <c r="AT134" s="93"/>
      <c r="AU134" s="93"/>
      <c r="AV134" s="93"/>
      <c r="AW134" s="93"/>
      <c r="AX134" s="93"/>
      <c r="AZ134" s="94"/>
      <c r="BA134" s="107"/>
      <c r="BB134" s="107"/>
      <c r="BC134" s="94"/>
    </row>
    <row r="135" spans="2:55" hidden="1">
      <c r="B135" s="258" t="s">
        <v>143</v>
      </c>
      <c r="C135" s="258"/>
      <c r="D135" s="258"/>
      <c r="E135" s="258"/>
      <c r="F135" s="92"/>
      <c r="G135" s="258" t="s">
        <v>143</v>
      </c>
      <c r="H135" s="258"/>
      <c r="I135" s="258"/>
      <c r="J135" s="258"/>
      <c r="Q135" s="93">
        <v>1</v>
      </c>
      <c r="R135" s="94" t="s">
        <v>151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44"/>
      <c r="AL135" s="99">
        <v>2</v>
      </c>
      <c r="AM135" s="99">
        <v>400002</v>
      </c>
      <c r="AN135" s="111">
        <v>19</v>
      </c>
      <c r="AO135" s="111">
        <v>5</v>
      </c>
      <c r="AP135" s="112"/>
      <c r="AQ135" s="112"/>
      <c r="AR135" s="111">
        <v>0.5</v>
      </c>
      <c r="AS135" s="111">
        <v>2.75</v>
      </c>
      <c r="AT135" s="93"/>
      <c r="AU135" s="93"/>
      <c r="AV135" s="93"/>
      <c r="AW135" s="93"/>
      <c r="AX135" s="93"/>
      <c r="AZ135" s="94"/>
      <c r="BA135" s="107"/>
      <c r="BB135" s="107"/>
      <c r="BC135" s="94"/>
    </row>
    <row r="136" spans="2:55" hidden="1">
      <c r="B136" s="113" t="s">
        <v>33</v>
      </c>
      <c r="C136" s="260"/>
      <c r="D136" s="260"/>
      <c r="E136" s="114" t="s">
        <v>34</v>
      </c>
      <c r="F136" s="92"/>
      <c r="G136" s="113" t="s">
        <v>33</v>
      </c>
      <c r="H136" s="260"/>
      <c r="I136" s="260"/>
      <c r="J136" s="114" t="s">
        <v>34</v>
      </c>
      <c r="Q136" s="93">
        <v>2</v>
      </c>
      <c r="R136" s="94" t="s">
        <v>148</v>
      </c>
      <c r="U136" s="37" t="str">
        <f>IF($M$122&lt;2020,$R$139,IF($M$122&lt;3010,$U$120:$U$121,IF($M$122=3010,$R$139,IF($M$122=3020,$U$120:$U$121,$R$139))))</f>
        <v>NIE DOTYCZY</v>
      </c>
      <c r="AK136" s="244"/>
      <c r="AL136" s="99">
        <v>3</v>
      </c>
      <c r="AM136" s="99">
        <v>400003</v>
      </c>
      <c r="AN136" s="111">
        <v>19</v>
      </c>
      <c r="AO136" s="111">
        <v>5</v>
      </c>
      <c r="AP136" s="112"/>
      <c r="AQ136" s="112"/>
      <c r="AR136" s="111">
        <v>0.6</v>
      </c>
      <c r="AS136" s="111">
        <v>1.8</v>
      </c>
      <c r="AT136" s="93"/>
      <c r="AU136" s="93"/>
      <c r="AV136" s="93"/>
      <c r="AW136" s="93"/>
      <c r="AX136" s="93"/>
      <c r="AZ136" s="94"/>
      <c r="BA136" s="107"/>
      <c r="BB136" s="107"/>
      <c r="BC136" s="94"/>
    </row>
    <row r="137" spans="2:55" ht="14.4" hidden="1" thickBot="1">
      <c r="F137" s="92"/>
      <c r="Q137" s="93">
        <v>3</v>
      </c>
      <c r="R137" s="94" t="s">
        <v>208</v>
      </c>
      <c r="AK137" s="245"/>
      <c r="AL137" s="104">
        <v>4</v>
      </c>
      <c r="AM137" s="104">
        <v>400004</v>
      </c>
      <c r="AN137" s="105">
        <v>19</v>
      </c>
      <c r="AO137" s="105">
        <v>5</v>
      </c>
      <c r="AP137" s="106"/>
      <c r="AQ137" s="106"/>
      <c r="AR137" s="105">
        <v>0.4</v>
      </c>
      <c r="AS137" s="105">
        <v>1</v>
      </c>
      <c r="AT137" s="93"/>
      <c r="AU137" s="93"/>
      <c r="AV137" s="93"/>
      <c r="AW137" s="93"/>
      <c r="AX137" s="93"/>
      <c r="AZ137" s="94"/>
      <c r="BA137" s="107"/>
      <c r="BB137" s="107"/>
      <c r="BC137" s="94"/>
    </row>
    <row r="138" spans="2:55" hidden="1">
      <c r="B138" s="258" t="s">
        <v>35</v>
      </c>
      <c r="C138" s="258"/>
      <c r="D138" s="258"/>
      <c r="E138" s="258"/>
      <c r="F138" s="92"/>
      <c r="G138" s="258" t="s">
        <v>35</v>
      </c>
      <c r="H138" s="258"/>
      <c r="I138" s="258"/>
      <c r="J138" s="258"/>
      <c r="AJ138" s="259" t="s">
        <v>156</v>
      </c>
      <c r="AK138" s="244" t="s">
        <v>154</v>
      </c>
      <c r="AL138" s="115">
        <v>1</v>
      </c>
      <c r="AM138" s="115">
        <v>510001</v>
      </c>
      <c r="AN138" s="116">
        <v>2</v>
      </c>
      <c r="AO138" s="116">
        <v>4800</v>
      </c>
      <c r="AP138" s="117"/>
      <c r="AQ138" s="117"/>
      <c r="AR138" s="116">
        <v>270</v>
      </c>
      <c r="AS138" s="116">
        <v>12</v>
      </c>
      <c r="AT138" s="93"/>
      <c r="AU138" s="93"/>
      <c r="AV138" s="93"/>
      <c r="AW138" s="93"/>
      <c r="AX138" s="93"/>
      <c r="AZ138" s="94"/>
      <c r="BA138" s="107"/>
      <c r="BB138" s="107"/>
      <c r="BC138" s="94"/>
    </row>
    <row r="139" spans="2:55" hidden="1">
      <c r="B139" s="113" t="s">
        <v>36</v>
      </c>
      <c r="C139" s="260"/>
      <c r="D139" s="260"/>
      <c r="E139" s="114" t="s">
        <v>34</v>
      </c>
      <c r="F139" s="92"/>
      <c r="G139" s="113" t="s">
        <v>36</v>
      </c>
      <c r="H139" s="260"/>
      <c r="I139" s="260"/>
      <c r="J139" s="114" t="s">
        <v>34</v>
      </c>
      <c r="R139" s="94" t="s">
        <v>172</v>
      </c>
      <c r="AJ139" s="253"/>
      <c r="AK139" s="244"/>
      <c r="AL139" s="99">
        <v>2</v>
      </c>
      <c r="AM139" s="99">
        <v>510002</v>
      </c>
      <c r="AN139" s="111">
        <v>2</v>
      </c>
      <c r="AO139" s="111">
        <v>3700</v>
      </c>
      <c r="AP139" s="112"/>
      <c r="AQ139" s="112"/>
      <c r="AR139" s="111">
        <v>270</v>
      </c>
      <c r="AS139" s="111">
        <v>14.5</v>
      </c>
      <c r="AT139" s="93"/>
      <c r="AU139" s="93"/>
      <c r="AV139" s="93"/>
      <c r="AW139" s="93"/>
      <c r="AX139" s="93"/>
      <c r="AZ139" s="94"/>
      <c r="BA139" s="107"/>
      <c r="BB139" s="107"/>
      <c r="BC139" s="94"/>
    </row>
    <row r="140" spans="2:55" hidden="1">
      <c r="F140" s="92"/>
      <c r="Q140" s="37" t="s">
        <v>44</v>
      </c>
      <c r="AJ140" s="253"/>
      <c r="AK140" s="244"/>
      <c r="AL140" s="99">
        <v>3</v>
      </c>
      <c r="AM140" s="99">
        <v>510003</v>
      </c>
      <c r="AN140" s="111">
        <v>2</v>
      </c>
      <c r="AO140" s="111">
        <v>1920</v>
      </c>
      <c r="AP140" s="112"/>
      <c r="AQ140" s="112"/>
      <c r="AR140" s="111">
        <v>270</v>
      </c>
      <c r="AS140" s="111">
        <v>14.5</v>
      </c>
      <c r="AT140" s="93"/>
      <c r="AU140" s="93"/>
      <c r="AV140" s="93"/>
      <c r="AW140" s="93"/>
      <c r="AX140" s="93"/>
      <c r="AZ140" s="94"/>
      <c r="BA140" s="107"/>
      <c r="BB140" s="107"/>
      <c r="BC140" s="94"/>
    </row>
    <row r="141" spans="2:55" hidden="1">
      <c r="B141" s="258" t="s">
        <v>38</v>
      </c>
      <c r="C141" s="258"/>
      <c r="D141" s="258"/>
      <c r="E141" s="258"/>
      <c r="F141" s="92"/>
      <c r="G141" s="258" t="s">
        <v>38</v>
      </c>
      <c r="H141" s="258"/>
      <c r="I141" s="258"/>
      <c r="J141" s="258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53"/>
      <c r="AK141" s="255"/>
      <c r="AL141" s="99">
        <v>4</v>
      </c>
      <c r="AM141" s="99">
        <v>510004</v>
      </c>
      <c r="AN141" s="111">
        <v>2</v>
      </c>
      <c r="AO141" s="111">
        <v>1280</v>
      </c>
      <c r="AP141" s="112"/>
      <c r="AQ141" s="112"/>
      <c r="AR141" s="111">
        <v>360</v>
      </c>
      <c r="AS141" s="111">
        <v>15</v>
      </c>
      <c r="AT141" s="93"/>
      <c r="AU141" s="93"/>
      <c r="AV141" s="93"/>
      <c r="AW141" s="93"/>
      <c r="AX141" s="93"/>
      <c r="AZ141" s="94"/>
      <c r="BC141" s="94"/>
    </row>
    <row r="142" spans="2:55" hidden="1">
      <c r="B142" s="113" t="s">
        <v>39</v>
      </c>
      <c r="C142" s="260"/>
      <c r="D142" s="260"/>
      <c r="E142" s="114" t="s">
        <v>34</v>
      </c>
      <c r="F142" s="92"/>
      <c r="G142" s="113" t="s">
        <v>39</v>
      </c>
      <c r="H142" s="260"/>
      <c r="I142" s="260"/>
      <c r="J142" s="114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53"/>
      <c r="AK142" s="257" t="s">
        <v>155</v>
      </c>
      <c r="AL142" s="99">
        <v>1</v>
      </c>
      <c r="AM142" s="99">
        <v>520001</v>
      </c>
      <c r="AN142" s="111">
        <v>2</v>
      </c>
      <c r="AO142" s="111">
        <v>7500</v>
      </c>
      <c r="AP142" s="112"/>
      <c r="AQ142" s="112"/>
      <c r="AR142" s="111">
        <v>270</v>
      </c>
      <c r="AS142" s="111">
        <v>12</v>
      </c>
      <c r="AT142" s="93"/>
      <c r="AU142" s="93"/>
      <c r="AV142" s="93"/>
      <c r="AW142" s="93"/>
      <c r="AX142" s="93"/>
      <c r="AZ142" s="94"/>
      <c r="BC142" s="94"/>
    </row>
    <row r="143" spans="2:55" hidden="1">
      <c r="F143" s="92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53"/>
      <c r="AK143" s="244"/>
      <c r="AL143" s="99">
        <v>2</v>
      </c>
      <c r="AM143" s="99">
        <v>520002</v>
      </c>
      <c r="AN143" s="111">
        <v>2</v>
      </c>
      <c r="AO143" s="111">
        <v>3700</v>
      </c>
      <c r="AP143" s="112"/>
      <c r="AQ143" s="112"/>
      <c r="AR143" s="111">
        <v>270</v>
      </c>
      <c r="AS143" s="111">
        <v>14.5</v>
      </c>
      <c r="AT143" s="93"/>
      <c r="AU143" s="93"/>
      <c r="AV143" s="93"/>
      <c r="AW143" s="93"/>
      <c r="AX143" s="93"/>
      <c r="AZ143" s="94"/>
      <c r="BC143" s="94"/>
    </row>
    <row r="144" spans="2:55" hidden="1">
      <c r="B144" s="258" t="s">
        <v>141</v>
      </c>
      <c r="C144" s="258"/>
      <c r="D144" s="258"/>
      <c r="E144" s="258"/>
      <c r="F144" s="92"/>
      <c r="G144" s="258" t="s">
        <v>141</v>
      </c>
      <c r="H144" s="258"/>
      <c r="I144" s="258"/>
      <c r="J144" s="258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53"/>
      <c r="AK144" s="244"/>
      <c r="AL144" s="99">
        <v>3</v>
      </c>
      <c r="AM144" s="99">
        <v>520003</v>
      </c>
      <c r="AN144" s="111">
        <v>2</v>
      </c>
      <c r="AO144" s="111">
        <v>1920</v>
      </c>
      <c r="AP144" s="112"/>
      <c r="AQ144" s="112"/>
      <c r="AR144" s="111">
        <v>270</v>
      </c>
      <c r="AS144" s="111">
        <v>14.5</v>
      </c>
      <c r="AT144" s="93"/>
      <c r="AU144" s="93"/>
      <c r="AV144" s="93"/>
      <c r="AW144" s="93"/>
      <c r="AX144" s="93"/>
      <c r="AZ144" s="94"/>
      <c r="BC144" s="94"/>
    </row>
    <row r="145" spans="2:55" ht="16.8" hidden="1" thickBot="1">
      <c r="B145" s="118" t="s">
        <v>362</v>
      </c>
      <c r="C145" s="113" t="s">
        <v>37</v>
      </c>
      <c r="D145" s="40"/>
      <c r="E145" s="114" t="s">
        <v>34</v>
      </c>
      <c r="F145" s="92"/>
      <c r="G145" s="118" t="s">
        <v>362</v>
      </c>
      <c r="H145" s="113" t="s">
        <v>37</v>
      </c>
      <c r="I145" s="40"/>
      <c r="J145" s="114" t="s">
        <v>34</v>
      </c>
      <c r="AJ145" s="254"/>
      <c r="AK145" s="245"/>
      <c r="AL145" s="104">
        <v>4</v>
      </c>
      <c r="AM145" s="104">
        <v>520004</v>
      </c>
      <c r="AN145" s="105">
        <v>2</v>
      </c>
      <c r="AO145" s="105">
        <v>1280</v>
      </c>
      <c r="AP145" s="106"/>
      <c r="AQ145" s="106"/>
      <c r="AR145" s="105">
        <v>360</v>
      </c>
      <c r="AS145" s="105">
        <v>15</v>
      </c>
      <c r="AT145" s="93"/>
      <c r="AU145" s="93"/>
      <c r="AV145" s="93"/>
      <c r="AW145" s="93"/>
      <c r="AX145" s="93"/>
      <c r="AZ145" s="94"/>
      <c r="BC145" s="94"/>
    </row>
    <row r="146" spans="2:55" ht="16.2" hidden="1">
      <c r="B146" s="118" t="s">
        <v>363</v>
      </c>
      <c r="C146" s="113" t="s">
        <v>37</v>
      </c>
      <c r="D146" s="40"/>
      <c r="E146" s="114" t="s">
        <v>34</v>
      </c>
      <c r="F146" s="92"/>
      <c r="G146" s="118" t="s">
        <v>363</v>
      </c>
      <c r="H146" s="113" t="s">
        <v>37</v>
      </c>
      <c r="I146" s="40"/>
      <c r="J146" s="114" t="s">
        <v>34</v>
      </c>
      <c r="AJ146" s="252" t="s">
        <v>157</v>
      </c>
      <c r="AK146" s="243" t="s">
        <v>154</v>
      </c>
      <c r="AL146" s="108">
        <v>1</v>
      </c>
      <c r="AM146" s="108">
        <v>610001</v>
      </c>
      <c r="AN146" s="109">
        <v>1.4</v>
      </c>
      <c r="AO146" s="109">
        <v>3360</v>
      </c>
      <c r="AP146" s="110"/>
      <c r="AQ146" s="110"/>
      <c r="AR146" s="109">
        <v>190</v>
      </c>
      <c r="AS146" s="109">
        <v>8.5</v>
      </c>
      <c r="AT146" s="93"/>
      <c r="AU146" s="93"/>
      <c r="AV146" s="93"/>
      <c r="AW146" s="93"/>
      <c r="AX146" s="93"/>
      <c r="AZ146" s="94"/>
      <c r="BA146" s="107"/>
      <c r="BB146" s="107"/>
      <c r="BC146" s="94"/>
    </row>
    <row r="147" spans="2:55" hidden="1">
      <c r="B147" s="118" t="s">
        <v>4</v>
      </c>
      <c r="C147" s="113" t="s">
        <v>37</v>
      </c>
      <c r="D147" s="40"/>
      <c r="E147" s="114" t="s">
        <v>34</v>
      </c>
      <c r="F147" s="92"/>
      <c r="G147" s="118" t="s">
        <v>4</v>
      </c>
      <c r="H147" s="113" t="s">
        <v>37</v>
      </c>
      <c r="I147" s="40"/>
      <c r="J147" s="114" t="s">
        <v>34</v>
      </c>
      <c r="AJ147" s="253"/>
      <c r="AK147" s="244"/>
      <c r="AL147" s="99">
        <v>2</v>
      </c>
      <c r="AM147" s="99">
        <v>610002</v>
      </c>
      <c r="AN147" s="111">
        <v>1.4</v>
      </c>
      <c r="AO147" s="111">
        <v>2590</v>
      </c>
      <c r="AP147" s="112"/>
      <c r="AQ147" s="112"/>
      <c r="AR147" s="111">
        <v>190</v>
      </c>
      <c r="AS147" s="111">
        <v>10.1</v>
      </c>
      <c r="AT147" s="93"/>
      <c r="AU147" s="93"/>
      <c r="AV147" s="93"/>
      <c r="AW147" s="93"/>
      <c r="AX147" s="93"/>
      <c r="AZ147" s="94"/>
      <c r="BC147" s="94"/>
    </row>
    <row r="148" spans="2:55" hidden="1">
      <c r="B148" s="118" t="s">
        <v>142</v>
      </c>
      <c r="C148" s="113" t="s">
        <v>37</v>
      </c>
      <c r="D148" s="40">
        <v>0</v>
      </c>
      <c r="E148" s="114" t="s">
        <v>34</v>
      </c>
      <c r="F148" s="92"/>
      <c r="G148" s="118" t="s">
        <v>142</v>
      </c>
      <c r="H148" s="113" t="s">
        <v>37</v>
      </c>
      <c r="I148" s="40"/>
      <c r="J148" s="114" t="s">
        <v>34</v>
      </c>
      <c r="AJ148" s="253"/>
      <c r="AK148" s="244"/>
      <c r="AL148" s="99">
        <v>3</v>
      </c>
      <c r="AM148" s="99">
        <v>610003</v>
      </c>
      <c r="AN148" s="111">
        <v>1.4</v>
      </c>
      <c r="AO148" s="111">
        <v>1345</v>
      </c>
      <c r="AP148" s="112"/>
      <c r="AQ148" s="112"/>
      <c r="AR148" s="111">
        <v>190</v>
      </c>
      <c r="AS148" s="111">
        <v>10.1</v>
      </c>
      <c r="AT148" s="93"/>
      <c r="AU148" s="93"/>
      <c r="AV148" s="93"/>
      <c r="AW148" s="93"/>
      <c r="AX148" s="93"/>
      <c r="AZ148" s="94"/>
      <c r="BC148" s="94"/>
    </row>
    <row r="149" spans="2:55" hidden="1">
      <c r="F149" s="92"/>
      <c r="Q149" s="37" t="s">
        <v>45</v>
      </c>
      <c r="AJ149" s="253"/>
      <c r="AK149" s="255"/>
      <c r="AL149" s="99">
        <v>4</v>
      </c>
      <c r="AM149" s="99">
        <v>610004</v>
      </c>
      <c r="AN149" s="111">
        <v>1.4</v>
      </c>
      <c r="AO149" s="111">
        <v>900</v>
      </c>
      <c r="AP149" s="112"/>
      <c r="AQ149" s="112"/>
      <c r="AR149" s="111">
        <v>225</v>
      </c>
      <c r="AS149" s="111">
        <v>10.5</v>
      </c>
      <c r="AT149" s="93"/>
      <c r="AU149" s="93"/>
      <c r="AV149" s="93"/>
      <c r="AW149" s="93"/>
      <c r="AX149" s="93"/>
      <c r="AZ149" s="94"/>
      <c r="BA149" s="107"/>
      <c r="BB149" s="107"/>
      <c r="BC149" s="94"/>
    </row>
    <row r="150" spans="2:55" hidden="1">
      <c r="B150" s="256" t="s">
        <v>47</v>
      </c>
      <c r="C150" s="256"/>
      <c r="D150" s="256"/>
      <c r="E150" s="256"/>
      <c r="F150" s="92"/>
      <c r="G150" s="256" t="s">
        <v>47</v>
      </c>
      <c r="H150" s="256"/>
      <c r="I150" s="256"/>
      <c r="J150" s="256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53"/>
      <c r="AK150" s="257" t="s">
        <v>155</v>
      </c>
      <c r="AL150" s="99">
        <v>1</v>
      </c>
      <c r="AM150" s="99">
        <v>620001</v>
      </c>
      <c r="AN150" s="111">
        <v>1.4</v>
      </c>
      <c r="AO150" s="111">
        <v>5250</v>
      </c>
      <c r="AP150" s="103"/>
      <c r="AQ150" s="103"/>
      <c r="AR150" s="111">
        <v>190</v>
      </c>
      <c r="AS150" s="111">
        <v>8.5</v>
      </c>
    </row>
    <row r="151" spans="2:55" ht="16.2" hidden="1">
      <c r="B151" s="119" t="s">
        <v>364</v>
      </c>
      <c r="C151" s="99"/>
      <c r="E151" s="120" t="s">
        <v>42</v>
      </c>
      <c r="F151" s="92"/>
      <c r="G151" s="121" t="s">
        <v>364</v>
      </c>
      <c r="H151" s="99"/>
      <c r="I151" s="122">
        <f>IF($O$132&lt;301001,$H$133*$H$136*$O$151*(100-$I$145)/100,IF($O$132&lt;=301003,"Nie oblicza się",IF($O$132&lt;701001,$H$133*$H$136*$O$151*(100-$I$145)/100,$H$133*$O$151*(100-$I$145)/100)))</f>
        <v>0</v>
      </c>
      <c r="J151" s="99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53"/>
      <c r="AK151" s="244"/>
      <c r="AL151" s="99">
        <v>2</v>
      </c>
      <c r="AM151" s="99">
        <v>620002</v>
      </c>
      <c r="AN151" s="111">
        <v>1.4</v>
      </c>
      <c r="AO151" s="111">
        <v>2590</v>
      </c>
      <c r="AP151" s="103"/>
      <c r="AQ151" s="103"/>
      <c r="AR151" s="111">
        <v>190</v>
      </c>
      <c r="AS151" s="111">
        <v>10.1</v>
      </c>
    </row>
    <row r="152" spans="2:55" ht="16.2" hidden="1">
      <c r="B152" s="119" t="s">
        <v>365</v>
      </c>
      <c r="C152" s="99"/>
      <c r="E152" s="120" t="s">
        <v>42</v>
      </c>
      <c r="F152" s="92"/>
      <c r="G152" s="121" t="s">
        <v>365</v>
      </c>
      <c r="H152" s="99"/>
      <c r="I152" s="123">
        <f>IF($O$132&lt;301001,$H$133*$O$152*(100-$I$146)/100,IF($O$132&lt;=301003,"Nie oblicza się",$H$133*$O$152*(100-$I$146)/100))</f>
        <v>0</v>
      </c>
      <c r="J152" s="99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53"/>
      <c r="AK152" s="244"/>
      <c r="AL152" s="99">
        <v>3</v>
      </c>
      <c r="AM152" s="99">
        <v>620003</v>
      </c>
      <c r="AN152" s="111">
        <v>1.4</v>
      </c>
      <c r="AO152" s="111">
        <v>1345</v>
      </c>
      <c r="AP152" s="112"/>
      <c r="AQ152" s="112"/>
      <c r="AR152" s="111">
        <v>190</v>
      </c>
      <c r="AS152" s="111">
        <v>10.1</v>
      </c>
      <c r="AT152" s="93"/>
      <c r="AU152" s="93"/>
      <c r="AV152" s="93"/>
      <c r="AW152" s="93"/>
      <c r="AX152" s="93"/>
      <c r="AY152" s="93"/>
    </row>
    <row r="153" spans="2:55" ht="16.8" hidden="1" thickBot="1">
      <c r="B153" s="119" t="s">
        <v>366</v>
      </c>
      <c r="C153" s="99"/>
      <c r="E153" s="120" t="s">
        <v>42</v>
      </c>
      <c r="F153" s="92"/>
      <c r="G153" s="121" t="s">
        <v>366</v>
      </c>
      <c r="H153" s="99"/>
      <c r="I153" s="123" t="s">
        <v>160</v>
      </c>
      <c r="J153" s="99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54"/>
      <c r="AK153" s="245"/>
      <c r="AL153" s="104">
        <v>4</v>
      </c>
      <c r="AM153" s="104">
        <v>620004</v>
      </c>
      <c r="AN153" s="105">
        <v>1.4</v>
      </c>
      <c r="AO153" s="105">
        <v>900</v>
      </c>
      <c r="AP153" s="106"/>
      <c r="AQ153" s="106"/>
      <c r="AR153" s="105">
        <v>225</v>
      </c>
      <c r="AS153" s="105">
        <v>10.5</v>
      </c>
      <c r="AT153" s="93"/>
      <c r="AU153" s="93"/>
      <c r="AV153" s="93"/>
      <c r="AW153" s="93"/>
      <c r="AX153" s="93"/>
      <c r="AY153" s="93"/>
    </row>
    <row r="154" spans="2:55" hidden="1">
      <c r="B154" s="119" t="s">
        <v>40</v>
      </c>
      <c r="C154" s="99"/>
      <c r="E154" s="120" t="s">
        <v>42</v>
      </c>
      <c r="F154" s="92"/>
      <c r="G154" s="121" t="s">
        <v>40</v>
      </c>
      <c r="H154" s="99"/>
      <c r="I154" s="123">
        <f>IF($O$132&lt;301001,$H$133*$O$154*(100-$I$147)/100,IF($O$132&lt;=301003,"Nie oblicza się",$H$133*$O$154*(100-$I$147)/100))</f>
        <v>0</v>
      </c>
      <c r="J154" s="99" t="s">
        <v>42</v>
      </c>
      <c r="M154" s="37">
        <f>VLOOKUP($M$132,$AM$114:$AS$156,6)</f>
        <v>0</v>
      </c>
      <c r="O154" s="37">
        <f>VLOOKUP($O$132,$AM$114:$AS$156,6)</f>
        <v>0</v>
      </c>
      <c r="AK154" s="243" t="s">
        <v>158</v>
      </c>
      <c r="AL154" s="108">
        <v>1</v>
      </c>
      <c r="AM154" s="108">
        <v>701001</v>
      </c>
      <c r="AN154" s="109">
        <f>T170</f>
        <v>0.02</v>
      </c>
      <c r="AO154" s="109">
        <f>T171</f>
        <v>0.8</v>
      </c>
      <c r="AP154" s="124"/>
      <c r="AQ154" s="124">
        <f>T172</f>
        <v>0</v>
      </c>
      <c r="AR154" s="109">
        <f>T173</f>
        <v>11</v>
      </c>
      <c r="AS154" s="109">
        <f>T174</f>
        <v>2.5</v>
      </c>
      <c r="AY154" s="93"/>
    </row>
    <row r="155" spans="2:55" hidden="1">
      <c r="B155" s="246" t="s">
        <v>41</v>
      </c>
      <c r="C155" s="247"/>
      <c r="E155" s="120" t="s">
        <v>42</v>
      </c>
      <c r="F155" s="92"/>
      <c r="G155" s="248" t="s">
        <v>41</v>
      </c>
      <c r="H155" s="247"/>
      <c r="I155" s="123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9" t="s">
        <v>42</v>
      </c>
      <c r="M155" s="37">
        <f>VLOOKUP($M$132,$AM$114:$AS$156,7)</f>
        <v>0</v>
      </c>
      <c r="O155" s="37">
        <f>VLOOKUP($O$132,$AM$114:$AS$156,7)</f>
        <v>0</v>
      </c>
      <c r="AK155" s="244"/>
      <c r="AL155" s="99">
        <v>2</v>
      </c>
      <c r="AM155" s="99">
        <v>702001</v>
      </c>
      <c r="AN155" s="111">
        <f>Q170</f>
        <v>0.11</v>
      </c>
      <c r="AO155" s="111">
        <f>Q171</f>
        <v>1</v>
      </c>
      <c r="AP155" s="112"/>
      <c r="AQ155" s="112">
        <f>Q172</f>
        <v>0</v>
      </c>
      <c r="AR155" s="111">
        <f>Q173</f>
        <v>26</v>
      </c>
      <c r="AS155" s="111">
        <f>Q174</f>
        <v>1.5</v>
      </c>
      <c r="AT155" s="93"/>
      <c r="AU155" s="93"/>
      <c r="AV155" s="93"/>
      <c r="AW155" s="93"/>
      <c r="AX155" s="93"/>
      <c r="AY155" s="93"/>
    </row>
    <row r="156" spans="2:55" ht="14.4" hidden="1" thickBot="1">
      <c r="F156" s="92"/>
      <c r="AK156" s="245"/>
      <c r="AL156" s="104">
        <v>3</v>
      </c>
      <c r="AM156" s="104">
        <v>702002</v>
      </c>
      <c r="AN156" s="105">
        <f>S170</f>
        <v>0.11</v>
      </c>
      <c r="AO156" s="105">
        <f>S171</f>
        <v>0.95</v>
      </c>
      <c r="AP156" s="106"/>
      <c r="AQ156" s="106">
        <f>S172</f>
        <v>0</v>
      </c>
      <c r="AR156" s="105">
        <f>S173</f>
        <v>16</v>
      </c>
      <c r="AS156" s="105">
        <f>S174</f>
        <v>1.5</v>
      </c>
      <c r="AY156" s="93"/>
    </row>
    <row r="157" spans="2:55" hidden="1">
      <c r="B157" s="249" t="s">
        <v>46</v>
      </c>
      <c r="C157" s="250"/>
      <c r="D157" s="250"/>
      <c r="E157" s="250"/>
      <c r="F157" s="250"/>
      <c r="G157" s="250"/>
      <c r="H157" s="250"/>
      <c r="I157" s="250"/>
      <c r="J157" s="251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</row>
    <row r="158" spans="2:55" ht="16.2" hidden="1">
      <c r="B158" s="126"/>
      <c r="C158" s="119" t="s">
        <v>364</v>
      </c>
      <c r="D158" s="99"/>
      <c r="F158" s="99" t="s">
        <v>42</v>
      </c>
      <c r="J158" s="127"/>
      <c r="AN158" s="100" t="s">
        <v>359</v>
      </c>
      <c r="AO158" s="100" t="s">
        <v>360</v>
      </c>
      <c r="AP158" s="101" t="s">
        <v>360</v>
      </c>
      <c r="AQ158" s="100" t="s">
        <v>361</v>
      </c>
      <c r="AR158" s="100" t="s">
        <v>4</v>
      </c>
      <c r="AS158" s="100" t="s">
        <v>5</v>
      </c>
      <c r="AT158" s="93"/>
      <c r="AU158" s="93"/>
      <c r="AV158" s="93"/>
      <c r="AW158" s="93"/>
      <c r="AX158" s="93"/>
    </row>
    <row r="159" spans="2:55" ht="16.2" hidden="1">
      <c r="B159" s="126"/>
      <c r="C159" s="119" t="s">
        <v>365</v>
      </c>
      <c r="D159" s="99"/>
      <c r="F159" s="99" t="s">
        <v>42</v>
      </c>
      <c r="J159" s="127"/>
      <c r="AN159" s="93"/>
      <c r="AO159" s="93"/>
      <c r="AP159" s="93"/>
      <c r="AQ159" s="93"/>
      <c r="AR159" s="93"/>
      <c r="AS159" s="93"/>
    </row>
    <row r="160" spans="2:55" ht="16.2" hidden="1">
      <c r="B160" s="126"/>
      <c r="C160" s="119" t="s">
        <v>366</v>
      </c>
      <c r="D160" s="99"/>
      <c r="F160" s="99" t="s">
        <v>42</v>
      </c>
      <c r="J160" s="127"/>
      <c r="AN160" s="93"/>
      <c r="AO160" s="93"/>
      <c r="AP160" s="93"/>
      <c r="AQ160" s="93"/>
      <c r="AR160" s="93"/>
      <c r="AS160" s="93"/>
    </row>
    <row r="161" spans="2:45" hidden="1">
      <c r="B161" s="126"/>
      <c r="C161" s="119" t="s">
        <v>40</v>
      </c>
      <c r="D161" s="99"/>
      <c r="F161" s="99" t="s">
        <v>42</v>
      </c>
      <c r="J161" s="127"/>
      <c r="AN161" s="93"/>
      <c r="AO161" s="93"/>
      <c r="AP161" s="93"/>
      <c r="AQ161" s="93"/>
      <c r="AR161" s="93"/>
      <c r="AS161" s="93"/>
    </row>
    <row r="162" spans="2:45" hidden="1">
      <c r="B162" s="126"/>
      <c r="C162" s="246" t="s">
        <v>41</v>
      </c>
      <c r="D162" s="247"/>
      <c r="F162" s="99" t="s">
        <v>42</v>
      </c>
      <c r="J162" s="127"/>
      <c r="AN162" s="93"/>
      <c r="AO162" s="93"/>
      <c r="AP162" s="93"/>
      <c r="AQ162" s="93"/>
      <c r="AR162" s="93"/>
      <c r="AS162" s="93"/>
    </row>
    <row r="163" spans="2:45" hidden="1">
      <c r="B163" s="128"/>
      <c r="C163" s="129"/>
      <c r="D163" s="129"/>
      <c r="E163" s="129"/>
      <c r="F163" s="129"/>
      <c r="G163" s="129"/>
      <c r="H163" s="129"/>
      <c r="I163" s="129"/>
      <c r="J163" s="130"/>
      <c r="AN163" s="93"/>
      <c r="AO163" s="93"/>
      <c r="AP163" s="93"/>
      <c r="AQ163" s="93"/>
      <c r="AR163" s="93"/>
      <c r="AS163" s="93"/>
    </row>
    <row r="164" spans="2:45" hidden="1">
      <c r="AN164" s="93"/>
      <c r="AO164" s="93"/>
      <c r="AP164" s="93"/>
      <c r="AQ164" s="93"/>
      <c r="AR164" s="93"/>
      <c r="AS164" s="93"/>
    </row>
    <row r="165" spans="2:45" hidden="1">
      <c r="AN165" s="93"/>
      <c r="AO165" s="93"/>
      <c r="AP165" s="93"/>
      <c r="AQ165" s="93"/>
      <c r="AR165" s="93"/>
      <c r="AS165" s="93"/>
    </row>
    <row r="166" spans="2:45" hidden="1">
      <c r="B166" s="242" t="s">
        <v>176</v>
      </c>
      <c r="C166" s="242"/>
      <c r="D166" s="242"/>
      <c r="E166" s="242"/>
      <c r="AN166" s="93"/>
      <c r="AO166" s="93"/>
      <c r="AP166" s="93"/>
      <c r="AQ166" s="93"/>
      <c r="AR166" s="93"/>
      <c r="AS166" s="93"/>
    </row>
    <row r="167" spans="2:45" hidden="1">
      <c r="B167" s="242"/>
      <c r="C167" s="242"/>
      <c r="D167" s="242"/>
      <c r="E167" s="242"/>
      <c r="O167" s="70" t="s">
        <v>161</v>
      </c>
      <c r="AN167" s="93"/>
      <c r="AO167" s="93"/>
      <c r="AP167" s="93"/>
      <c r="AQ167" s="93"/>
      <c r="AR167" s="93"/>
      <c r="AS167" s="93"/>
    </row>
    <row r="168" spans="2:45" hidden="1">
      <c r="O168" s="70"/>
      <c r="Q168" s="241" t="s">
        <v>6</v>
      </c>
      <c r="R168" s="241"/>
      <c r="S168" s="241"/>
      <c r="T168" s="241" t="s">
        <v>3</v>
      </c>
      <c r="U168" s="241"/>
      <c r="V168" s="241"/>
      <c r="AN168" s="93"/>
      <c r="AO168" s="93"/>
      <c r="AP168" s="93"/>
      <c r="AQ168" s="93"/>
      <c r="AR168" s="93"/>
      <c r="AS168" s="93"/>
    </row>
    <row r="169" spans="2:45" hidden="1">
      <c r="B169" s="242" t="s">
        <v>177</v>
      </c>
      <c r="C169" s="242"/>
      <c r="D169" s="242"/>
      <c r="E169" s="242"/>
      <c r="O169" s="70"/>
      <c r="Q169" s="99" t="s">
        <v>162</v>
      </c>
      <c r="R169" s="99"/>
      <c r="S169" s="99" t="s">
        <v>163</v>
      </c>
      <c r="T169" s="241" t="s">
        <v>207</v>
      </c>
      <c r="U169" s="241"/>
      <c r="V169" s="241"/>
      <c r="AN169" s="93"/>
      <c r="AO169" s="93"/>
      <c r="AP169" s="93"/>
      <c r="AQ169" s="93"/>
      <c r="AR169" s="93"/>
      <c r="AS169" s="93"/>
    </row>
    <row r="170" spans="2:45" ht="16.2" hidden="1">
      <c r="B170" s="242"/>
      <c r="C170" s="242"/>
      <c r="D170" s="242"/>
      <c r="E170" s="242"/>
      <c r="O170" s="119" t="s">
        <v>364</v>
      </c>
      <c r="P170" s="99"/>
      <c r="Q170" s="115">
        <v>0.11</v>
      </c>
      <c r="R170" s="115"/>
      <c r="S170" s="115">
        <v>0.11</v>
      </c>
      <c r="T170" s="233">
        <v>0.02</v>
      </c>
      <c r="U170" s="234"/>
      <c r="V170" s="235"/>
      <c r="AN170" s="93"/>
      <c r="AO170" s="93"/>
      <c r="AQ170" s="93"/>
      <c r="AR170" s="93"/>
      <c r="AS170" s="93"/>
    </row>
    <row r="171" spans="2:45" ht="16.2" hidden="1">
      <c r="O171" s="119" t="s">
        <v>365</v>
      </c>
      <c r="P171" s="99"/>
      <c r="Q171" s="99">
        <v>1</v>
      </c>
      <c r="R171" s="99"/>
      <c r="S171" s="99">
        <v>0.95</v>
      </c>
      <c r="T171" s="233">
        <v>0.8</v>
      </c>
      <c r="U171" s="234"/>
      <c r="V171" s="235"/>
      <c r="AN171" s="93"/>
      <c r="AO171" s="93"/>
      <c r="AP171" s="93"/>
      <c r="AQ171" s="93"/>
      <c r="AR171" s="93"/>
      <c r="AS171" s="93"/>
    </row>
    <row r="172" spans="2:45" ht="16.2" hidden="1">
      <c r="B172" s="242" t="s">
        <v>178</v>
      </c>
      <c r="C172" s="242"/>
      <c r="O172" s="119" t="s">
        <v>366</v>
      </c>
      <c r="P172" s="99"/>
      <c r="Q172" s="99">
        <v>0</v>
      </c>
      <c r="R172" s="99"/>
      <c r="S172" s="99">
        <v>0</v>
      </c>
      <c r="T172" s="233">
        <v>0</v>
      </c>
      <c r="U172" s="234"/>
      <c r="V172" s="235"/>
      <c r="AN172" s="93"/>
      <c r="AO172" s="93"/>
      <c r="AP172" s="93"/>
      <c r="AQ172" s="93"/>
      <c r="AR172" s="93"/>
      <c r="AS172" s="93"/>
    </row>
    <row r="173" spans="2:45" hidden="1">
      <c r="B173" s="242"/>
      <c r="C173" s="242"/>
      <c r="D173" s="242"/>
      <c r="E173" s="242"/>
      <c r="O173" s="119" t="s">
        <v>40</v>
      </c>
      <c r="P173" s="99"/>
      <c r="Q173" s="99">
        <v>26</v>
      </c>
      <c r="R173" s="99"/>
      <c r="S173" s="99">
        <v>16</v>
      </c>
      <c r="T173" s="233">
        <v>11</v>
      </c>
      <c r="U173" s="234"/>
      <c r="V173" s="235"/>
      <c r="AN173" s="93"/>
      <c r="AO173" s="93"/>
      <c r="AP173" s="93"/>
      <c r="AQ173" s="93"/>
      <c r="AR173" s="93"/>
      <c r="AS173" s="93"/>
    </row>
    <row r="174" spans="2:45" hidden="1">
      <c r="O174" s="231" t="s">
        <v>41</v>
      </c>
      <c r="P174" s="232"/>
      <c r="Q174" s="99">
        <v>1.5</v>
      </c>
      <c r="R174" s="99"/>
      <c r="S174" s="99">
        <v>1.5</v>
      </c>
      <c r="T174" s="233">
        <v>2.5</v>
      </c>
      <c r="U174" s="234"/>
      <c r="V174" s="235"/>
      <c r="AN174" s="93"/>
      <c r="AO174" s="93"/>
      <c r="AP174" s="93"/>
      <c r="AQ174" s="93"/>
      <c r="AR174" s="93"/>
      <c r="AS174" s="93"/>
    </row>
    <row r="175" spans="2:45" hidden="1">
      <c r="O175" s="70" t="s">
        <v>126</v>
      </c>
      <c r="AN175" s="93"/>
      <c r="AO175" s="93"/>
      <c r="AP175" s="93"/>
      <c r="AQ175" s="93"/>
      <c r="AR175" s="93"/>
      <c r="AS175" s="93"/>
    </row>
    <row r="176" spans="2:45" hidden="1">
      <c r="AN176" s="93"/>
      <c r="AO176" s="93"/>
      <c r="AP176" s="93"/>
      <c r="AQ176" s="93"/>
      <c r="AR176" s="93"/>
      <c r="AS176" s="93"/>
    </row>
    <row r="177" spans="15:45" hidden="1">
      <c r="O177" s="70"/>
      <c r="Q177" s="241" t="s">
        <v>6</v>
      </c>
      <c r="R177" s="241"/>
      <c r="S177" s="241"/>
      <c r="T177" s="241" t="s">
        <v>3</v>
      </c>
      <c r="U177" s="241"/>
      <c r="V177" s="241"/>
      <c r="AN177" s="93"/>
      <c r="AO177" s="93"/>
      <c r="AP177" s="93"/>
      <c r="AQ177" s="93"/>
      <c r="AR177" s="93"/>
      <c r="AS177" s="93"/>
    </row>
    <row r="178" spans="15:45" hidden="1">
      <c r="O178" s="70"/>
      <c r="Q178" s="99" t="s">
        <v>162</v>
      </c>
      <c r="R178" s="99"/>
      <c r="S178" s="99" t="s">
        <v>163</v>
      </c>
      <c r="T178" s="241" t="s">
        <v>207</v>
      </c>
      <c r="U178" s="241"/>
      <c r="V178" s="241"/>
      <c r="AN178" s="93"/>
      <c r="AO178" s="93"/>
      <c r="AP178" s="93"/>
      <c r="AQ178" s="93"/>
      <c r="AR178" s="93"/>
      <c r="AS178" s="93"/>
    </row>
    <row r="179" spans="15:45" ht="16.2" hidden="1">
      <c r="O179" s="119" t="s">
        <v>364</v>
      </c>
      <c r="P179" s="99"/>
      <c r="Q179" s="115">
        <v>0.11</v>
      </c>
      <c r="R179" s="115"/>
      <c r="S179" s="115">
        <v>0.11</v>
      </c>
      <c r="T179" s="233">
        <v>0.02</v>
      </c>
      <c r="U179" s="234"/>
      <c r="V179" s="235"/>
      <c r="AN179" s="93"/>
      <c r="AO179" s="93"/>
      <c r="AP179" s="93"/>
      <c r="AQ179" s="93"/>
      <c r="AR179" s="93"/>
      <c r="AS179" s="93"/>
    </row>
    <row r="180" spans="15:45" ht="16.2" hidden="1">
      <c r="O180" s="119" t="s">
        <v>365</v>
      </c>
      <c r="P180" s="99"/>
      <c r="Q180" s="99">
        <v>1</v>
      </c>
      <c r="R180" s="99"/>
      <c r="S180" s="99">
        <v>0.95</v>
      </c>
      <c r="T180" s="233">
        <v>0.8</v>
      </c>
      <c r="U180" s="234"/>
      <c r="V180" s="235"/>
      <c r="AN180" s="93"/>
      <c r="AO180" s="93"/>
      <c r="AP180" s="93"/>
      <c r="AQ180" s="93"/>
      <c r="AR180" s="93"/>
      <c r="AS180" s="93"/>
    </row>
    <row r="181" spans="15:45" ht="16.2" hidden="1">
      <c r="O181" s="119" t="s">
        <v>366</v>
      </c>
      <c r="P181" s="99"/>
      <c r="Q181" s="99">
        <v>0</v>
      </c>
      <c r="R181" s="99"/>
      <c r="S181" s="99">
        <v>0</v>
      </c>
      <c r="T181" s="233">
        <v>0</v>
      </c>
      <c r="U181" s="234"/>
      <c r="V181" s="235"/>
      <c r="AN181" s="93"/>
      <c r="AO181" s="93"/>
      <c r="AP181" s="93"/>
      <c r="AQ181" s="93"/>
      <c r="AR181" s="93"/>
      <c r="AS181" s="93"/>
    </row>
    <row r="182" spans="15:45" hidden="1">
      <c r="O182" s="119" t="s">
        <v>40</v>
      </c>
      <c r="P182" s="99"/>
      <c r="Q182" s="99">
        <v>26</v>
      </c>
      <c r="R182" s="99"/>
      <c r="S182" s="99">
        <v>16</v>
      </c>
      <c r="T182" s="233">
        <v>11</v>
      </c>
      <c r="U182" s="234"/>
      <c r="V182" s="235"/>
      <c r="AN182" s="93"/>
      <c r="AO182" s="93"/>
      <c r="AP182" s="93"/>
      <c r="AQ182" s="93"/>
      <c r="AR182" s="93"/>
      <c r="AS182" s="93"/>
    </row>
    <row r="183" spans="15:45" hidden="1">
      <c r="O183" s="231" t="s">
        <v>41</v>
      </c>
      <c r="P183" s="232"/>
      <c r="Q183" s="99">
        <v>1.5</v>
      </c>
      <c r="R183" s="99"/>
      <c r="S183" s="99">
        <v>1.5</v>
      </c>
      <c r="T183" s="233">
        <v>2.5</v>
      </c>
      <c r="U183" s="234"/>
      <c r="V183" s="235"/>
      <c r="AN183" s="93"/>
      <c r="AO183" s="93"/>
      <c r="AP183" s="93"/>
      <c r="AQ183" s="93"/>
      <c r="AR183" s="93"/>
      <c r="AS183" s="93"/>
    </row>
    <row r="184" spans="15:45" hidden="1">
      <c r="AN184" s="93"/>
      <c r="AO184" s="93"/>
      <c r="AP184" s="93"/>
      <c r="AQ184" s="93"/>
      <c r="AR184" s="93"/>
      <c r="AS184" s="93"/>
    </row>
    <row r="185" spans="15:45" hidden="1">
      <c r="AN185" s="93"/>
      <c r="AO185" s="93"/>
      <c r="AP185" s="93"/>
      <c r="AQ185" s="93"/>
      <c r="AR185" s="93"/>
      <c r="AS185" s="93"/>
    </row>
    <row r="186" spans="15:45" hidden="1">
      <c r="AN186" s="93"/>
      <c r="AO186" s="93"/>
      <c r="AP186" s="93"/>
      <c r="AQ186" s="93"/>
      <c r="AR186" s="93"/>
      <c r="AS186" s="93"/>
    </row>
    <row r="187" spans="15:45" hidden="1">
      <c r="AN187" s="93"/>
      <c r="AO187" s="93"/>
      <c r="AP187" s="93"/>
      <c r="AQ187" s="93"/>
      <c r="AR187" s="93"/>
      <c r="AS187" s="93"/>
    </row>
    <row r="188" spans="15:45" hidden="1">
      <c r="AN188" s="93"/>
      <c r="AO188" s="93"/>
      <c r="AP188" s="93"/>
      <c r="AQ188" s="93"/>
      <c r="AR188" s="93"/>
      <c r="AS188" s="93"/>
    </row>
    <row r="189" spans="15:45" hidden="1">
      <c r="AN189" s="93"/>
      <c r="AO189" s="93"/>
      <c r="AP189" s="93"/>
      <c r="AQ189" s="93"/>
      <c r="AR189" s="93"/>
      <c r="AS189" s="93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36" t="s">
        <v>118</v>
      </c>
      <c r="I199" s="236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idden="1">
      <c r="A200" s="38"/>
      <c r="B200" s="38"/>
      <c r="C200" s="38"/>
      <c r="D200" s="38"/>
      <c r="E200" s="38"/>
      <c r="F200" s="38"/>
      <c r="G200" s="38"/>
      <c r="H200" s="44" t="s">
        <v>119</v>
      </c>
      <c r="I200" s="44" t="s">
        <v>120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201</v>
      </c>
      <c r="V200" s="38" t="s">
        <v>201</v>
      </c>
      <c r="W200" s="38" t="s">
        <v>202</v>
      </c>
      <c r="X200" s="38"/>
      <c r="Y200" s="38"/>
    </row>
    <row r="201" spans="1:25" ht="16.2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367</v>
      </c>
      <c r="W201" s="37" t="s">
        <v>76</v>
      </c>
      <c r="X201" s="38"/>
      <c r="Y201" s="38"/>
    </row>
    <row r="202" spans="1:25" hidden="1">
      <c r="A202" s="93">
        <v>1</v>
      </c>
      <c r="B202" s="94" t="s">
        <v>117</v>
      </c>
      <c r="D202" s="38"/>
      <c r="E202" s="131" t="s">
        <v>203</v>
      </c>
      <c r="F202" s="38"/>
      <c r="G202" s="38"/>
      <c r="H202" s="38" t="s">
        <v>276</v>
      </c>
      <c r="I202" s="38" t="s">
        <v>276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122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3">
        <v>2</v>
      </c>
      <c r="B203" s="94" t="s">
        <v>144</v>
      </c>
      <c r="D203" s="38"/>
      <c r="E203" s="132">
        <v>860</v>
      </c>
      <c r="F203" s="38"/>
      <c r="G203" s="38"/>
      <c r="H203" s="52" t="s">
        <v>108</v>
      </c>
      <c r="I203" s="133">
        <v>1</v>
      </c>
      <c r="J203" s="38">
        <v>0</v>
      </c>
      <c r="K203" s="134" t="s">
        <v>107</v>
      </c>
      <c r="L203" s="38"/>
      <c r="M203" s="134" t="s">
        <v>106</v>
      </c>
      <c r="N203" s="38"/>
      <c r="O203" s="52" t="s">
        <v>50</v>
      </c>
      <c r="P203" s="38"/>
      <c r="Q203" s="38">
        <v>1</v>
      </c>
      <c r="R203" s="38"/>
      <c r="S203" s="119"/>
      <c r="T203" s="52"/>
      <c r="U203" s="53"/>
      <c r="V203" s="53"/>
      <c r="W203" s="53"/>
      <c r="X203" s="38"/>
      <c r="Y203" s="38"/>
    </row>
    <row r="204" spans="1:25" hidden="1">
      <c r="A204" s="93">
        <v>3</v>
      </c>
      <c r="B204" s="94" t="s">
        <v>15</v>
      </c>
      <c r="D204" s="38"/>
      <c r="E204" s="38"/>
      <c r="F204" s="38"/>
      <c r="G204" s="38"/>
      <c r="H204" s="52" t="s">
        <v>105</v>
      </c>
      <c r="I204" s="133">
        <v>2</v>
      </c>
      <c r="J204" s="38">
        <v>0</v>
      </c>
      <c r="K204" s="134" t="s">
        <v>104</v>
      </c>
      <c r="L204" s="38"/>
      <c r="M204" s="134" t="s">
        <v>103</v>
      </c>
      <c r="N204" s="38"/>
      <c r="O204" s="52" t="s">
        <v>49</v>
      </c>
      <c r="P204" s="38"/>
      <c r="Q204" s="38">
        <v>2</v>
      </c>
      <c r="R204" s="38"/>
      <c r="S204" s="119"/>
      <c r="T204" s="52"/>
      <c r="U204" s="53"/>
      <c r="V204" s="53"/>
      <c r="W204" s="53"/>
      <c r="X204" s="38"/>
      <c r="Y204" s="38"/>
    </row>
    <row r="205" spans="1:25" hidden="1">
      <c r="A205" s="93">
        <v>4</v>
      </c>
      <c r="B205" s="94" t="s">
        <v>145</v>
      </c>
      <c r="D205" s="38"/>
      <c r="E205" s="38"/>
      <c r="F205" s="38"/>
      <c r="G205" s="38"/>
      <c r="H205" s="52" t="s">
        <v>102</v>
      </c>
      <c r="I205" s="133">
        <v>3</v>
      </c>
      <c r="J205" s="38"/>
      <c r="K205" s="134" t="s">
        <v>101</v>
      </c>
      <c r="L205" s="38"/>
      <c r="M205" s="134" t="s">
        <v>100</v>
      </c>
      <c r="N205" s="38"/>
      <c r="O205" s="52" t="s">
        <v>82</v>
      </c>
      <c r="P205" s="38"/>
      <c r="Q205" s="38">
        <v>1</v>
      </c>
      <c r="R205" s="38"/>
      <c r="S205" s="119"/>
      <c r="T205" s="52"/>
      <c r="U205" s="53"/>
      <c r="V205" s="53"/>
      <c r="W205" s="53"/>
      <c r="X205" s="38"/>
      <c r="Y205" s="38"/>
    </row>
    <row r="206" spans="1:25" hidden="1">
      <c r="A206" s="93">
        <v>5</v>
      </c>
      <c r="B206" s="94" t="s">
        <v>149</v>
      </c>
      <c r="D206" s="38"/>
      <c r="E206" s="38"/>
      <c r="F206" s="38"/>
      <c r="G206" s="38"/>
      <c r="H206" s="52" t="s">
        <v>99</v>
      </c>
      <c r="I206" s="133">
        <v>4</v>
      </c>
      <c r="J206" s="38"/>
      <c r="K206" s="134" t="s">
        <v>98</v>
      </c>
      <c r="L206" s="38"/>
      <c r="M206" s="134" t="s">
        <v>97</v>
      </c>
      <c r="N206" s="38"/>
      <c r="O206" s="52" t="s">
        <v>81</v>
      </c>
      <c r="P206" s="38"/>
      <c r="Q206" s="38">
        <v>2</v>
      </c>
      <c r="R206" s="38"/>
      <c r="S206" s="119"/>
      <c r="T206" s="52"/>
      <c r="U206" s="53"/>
      <c r="V206" s="53"/>
      <c r="W206" s="53"/>
      <c r="X206" s="38"/>
      <c r="Y206" s="38"/>
    </row>
    <row r="207" spans="1:25" hidden="1">
      <c r="A207" s="93">
        <v>6</v>
      </c>
      <c r="B207" s="94" t="s">
        <v>150</v>
      </c>
      <c r="D207" s="38"/>
      <c r="E207" s="38"/>
      <c r="F207" s="38"/>
      <c r="G207" s="38"/>
      <c r="H207" s="52" t="s">
        <v>129</v>
      </c>
      <c r="I207" s="133">
        <v>5</v>
      </c>
      <c r="J207" s="38"/>
      <c r="K207" s="134" t="s">
        <v>198</v>
      </c>
      <c r="L207" s="38"/>
      <c r="M207" s="134" t="s">
        <v>96</v>
      </c>
      <c r="N207" s="38"/>
      <c r="O207" s="52" t="s">
        <v>79</v>
      </c>
      <c r="P207" s="38"/>
      <c r="Q207" s="38">
        <v>3</v>
      </c>
      <c r="R207" s="38"/>
      <c r="S207" s="119"/>
      <c r="T207" s="52"/>
      <c r="U207" s="53"/>
      <c r="V207" s="53"/>
      <c r="W207" s="53"/>
      <c r="X207" s="38"/>
      <c r="Y207" s="38"/>
    </row>
    <row r="208" spans="1:25" hidden="1">
      <c r="A208" s="93">
        <v>7</v>
      </c>
      <c r="B208" s="94" t="s">
        <v>146</v>
      </c>
      <c r="D208" s="38"/>
      <c r="E208" s="38"/>
      <c r="F208" s="38"/>
      <c r="G208" s="38"/>
      <c r="H208" s="52" t="s">
        <v>130</v>
      </c>
      <c r="I208" s="133">
        <v>6</v>
      </c>
      <c r="J208" s="38"/>
      <c r="K208" s="134" t="s">
        <v>135</v>
      </c>
      <c r="L208" s="38"/>
      <c r="M208" s="134" t="s">
        <v>95</v>
      </c>
      <c r="N208" s="38"/>
      <c r="O208" s="52" t="s">
        <v>78</v>
      </c>
      <c r="P208" s="38"/>
      <c r="Q208" s="38">
        <v>1</v>
      </c>
      <c r="R208" s="38"/>
      <c r="S208" s="119"/>
      <c r="T208" s="52"/>
      <c r="U208" s="53"/>
      <c r="V208" s="53"/>
      <c r="W208" s="53"/>
      <c r="X208" s="38"/>
      <c r="Y208" s="38"/>
    </row>
    <row r="209" spans="1:25" hidden="1">
      <c r="A209" s="135">
        <v>8</v>
      </c>
      <c r="B209" s="94" t="s">
        <v>275</v>
      </c>
      <c r="C209" s="38"/>
      <c r="D209" s="38"/>
      <c r="E209" s="38"/>
      <c r="F209" s="38"/>
      <c r="G209" s="38"/>
      <c r="H209" s="52" t="s">
        <v>131</v>
      </c>
      <c r="I209" s="133">
        <v>7</v>
      </c>
      <c r="J209" s="38"/>
      <c r="K209" s="134" t="s">
        <v>136</v>
      </c>
      <c r="L209" s="38"/>
      <c r="M209" s="134" t="s">
        <v>94</v>
      </c>
      <c r="N209" s="38"/>
      <c r="O209" s="52" t="s">
        <v>77</v>
      </c>
      <c r="P209" s="38"/>
      <c r="Q209" s="38">
        <v>2</v>
      </c>
      <c r="R209" s="38"/>
      <c r="S209" s="119"/>
      <c r="T209" s="52"/>
      <c r="U209" s="53"/>
      <c r="V209" s="53"/>
      <c r="W209" s="53"/>
      <c r="X209" s="38"/>
      <c r="Y209" s="38"/>
    </row>
    <row r="210" spans="1:25" hidden="1">
      <c r="A210" s="135">
        <v>9</v>
      </c>
      <c r="B210" s="94" t="s">
        <v>299</v>
      </c>
      <c r="C210" s="38"/>
      <c r="D210" s="38"/>
      <c r="E210" s="38"/>
      <c r="F210" s="38"/>
      <c r="G210" s="38"/>
      <c r="H210" s="52" t="s">
        <v>132</v>
      </c>
      <c r="I210" s="133">
        <v>8</v>
      </c>
      <c r="J210" s="38"/>
      <c r="K210" s="134" t="s">
        <v>137</v>
      </c>
      <c r="L210" s="38"/>
      <c r="M210" s="134" t="s">
        <v>93</v>
      </c>
      <c r="N210" s="38"/>
      <c r="O210" s="52" t="s">
        <v>75</v>
      </c>
      <c r="P210" s="38"/>
      <c r="Q210" s="38">
        <v>3</v>
      </c>
      <c r="R210" s="38"/>
      <c r="S210" s="119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3">
        <v>9</v>
      </c>
      <c r="J211" s="38"/>
      <c r="K211" s="134" t="s">
        <v>138</v>
      </c>
      <c r="L211" s="38"/>
      <c r="M211" s="134" t="s">
        <v>91</v>
      </c>
      <c r="N211" s="38"/>
      <c r="O211" s="52" t="s">
        <v>74</v>
      </c>
      <c r="P211" s="38"/>
      <c r="Q211" s="38">
        <v>4</v>
      </c>
      <c r="R211" s="38"/>
      <c r="S211" s="119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251</v>
      </c>
      <c r="I212" s="133">
        <v>10</v>
      </c>
      <c r="J212" s="38"/>
      <c r="K212" s="134" t="s">
        <v>250</v>
      </c>
      <c r="L212" s="38"/>
      <c r="M212" s="134" t="s">
        <v>90</v>
      </c>
      <c r="N212" s="38"/>
      <c r="O212" s="52"/>
      <c r="P212" s="38"/>
      <c r="Q212" s="38"/>
      <c r="R212" s="38"/>
      <c r="S212" s="119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133</v>
      </c>
      <c r="I213" s="133">
        <v>11</v>
      </c>
      <c r="J213" s="38"/>
      <c r="K213" s="134" t="s">
        <v>253</v>
      </c>
      <c r="L213" s="38"/>
      <c r="M213" s="134" t="s">
        <v>89</v>
      </c>
      <c r="N213" s="38"/>
      <c r="O213" s="52" t="s">
        <v>140</v>
      </c>
      <c r="P213" s="38"/>
      <c r="Q213" s="38">
        <v>4</v>
      </c>
      <c r="R213" s="38"/>
      <c r="S213" s="119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134</v>
      </c>
      <c r="I214" s="133">
        <v>12</v>
      </c>
      <c r="J214" s="38"/>
      <c r="K214" s="134" t="s">
        <v>254</v>
      </c>
      <c r="L214" s="38"/>
      <c r="M214" s="134" t="s">
        <v>87</v>
      </c>
      <c r="N214" s="38"/>
      <c r="O214" s="52" t="s">
        <v>73</v>
      </c>
      <c r="P214" s="38"/>
      <c r="Q214" s="38">
        <v>5</v>
      </c>
      <c r="R214" s="38"/>
      <c r="S214" s="119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3">
        <v>13</v>
      </c>
      <c r="J215" s="38"/>
      <c r="K215" s="134" t="s">
        <v>255</v>
      </c>
      <c r="L215" s="38"/>
      <c r="M215" s="134" t="s">
        <v>85</v>
      </c>
      <c r="N215" s="38"/>
      <c r="O215" s="52" t="s">
        <v>72</v>
      </c>
      <c r="P215" s="38"/>
      <c r="Q215" s="38">
        <v>6</v>
      </c>
      <c r="R215" s="38"/>
      <c r="S215" s="119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3">
        <v>14</v>
      </c>
      <c r="J216" s="38"/>
      <c r="K216" s="134" t="s">
        <v>282</v>
      </c>
      <c r="L216" s="38"/>
      <c r="M216" s="134" t="s">
        <v>83</v>
      </c>
      <c r="N216" s="38"/>
      <c r="O216" s="52"/>
      <c r="P216" s="38"/>
      <c r="Q216" s="38"/>
      <c r="R216" s="38"/>
      <c r="S216" s="119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3">
        <v>15</v>
      </c>
      <c r="J217" s="38"/>
      <c r="K217" s="134" t="s">
        <v>283</v>
      </c>
      <c r="L217" s="38"/>
      <c r="M217" s="134" t="s">
        <v>252</v>
      </c>
      <c r="N217" s="38"/>
      <c r="O217" s="52"/>
      <c r="P217" s="38"/>
      <c r="Q217" s="38"/>
      <c r="R217" s="38"/>
      <c r="S217" s="119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3">
        <v>16</v>
      </c>
      <c r="J218" s="38"/>
      <c r="K218" s="134" t="s">
        <v>278</v>
      </c>
      <c r="L218" s="38"/>
      <c r="M218" s="134" t="s">
        <v>280</v>
      </c>
      <c r="N218" s="38"/>
      <c r="O218" s="52" t="s">
        <v>139</v>
      </c>
      <c r="P218" s="38"/>
      <c r="Q218" s="38">
        <v>7</v>
      </c>
      <c r="R218" s="38"/>
      <c r="S218" s="119"/>
      <c r="T218" s="52"/>
      <c r="U218" s="53"/>
      <c r="V218" s="53"/>
      <c r="W218" s="53"/>
      <c r="X218" s="38"/>
      <c r="Y218" s="38"/>
    </row>
    <row r="219" spans="1:2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3">
        <v>17</v>
      </c>
      <c r="J219" s="38"/>
      <c r="K219" s="134" t="s">
        <v>279</v>
      </c>
      <c r="L219" s="38"/>
      <c r="M219" s="134" t="s">
        <v>281</v>
      </c>
      <c r="N219" s="38"/>
      <c r="O219" s="52" t="s">
        <v>68</v>
      </c>
      <c r="P219" s="38"/>
      <c r="Q219" s="38">
        <v>8</v>
      </c>
      <c r="R219" s="38"/>
      <c r="S219" s="119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9"/>
      <c r="T220" s="52"/>
      <c r="U220" s="53"/>
      <c r="V220" s="53"/>
      <c r="W220" s="53"/>
      <c r="X220" s="38"/>
      <c r="Y220" s="38"/>
    </row>
    <row r="221" spans="1:2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6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9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199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7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9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200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7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9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2">IF($B$220="1",K206,"")</f>
        <v/>
      </c>
      <c r="C224" s="38"/>
      <c r="D224" s="38" t="str">
        <f t="shared" ref="D224:D233" si="3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7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9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2"/>
        <v/>
      </c>
      <c r="C225" s="38"/>
      <c r="D225" s="38" t="str">
        <f t="shared" si="3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7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9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2"/>
        <v/>
      </c>
      <c r="C226" s="38"/>
      <c r="D226" s="38" t="str">
        <f t="shared" si="3"/>
        <v/>
      </c>
      <c r="E226" s="38"/>
      <c r="F226" s="38"/>
      <c r="G226" s="38"/>
      <c r="H226" s="38" t="str">
        <f>IF($H$222=16,O207,"")</f>
        <v/>
      </c>
      <c r="I226" s="38"/>
      <c r="J226" s="137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9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2"/>
        <v/>
      </c>
      <c r="C227" s="38"/>
      <c r="D227" s="38" t="str">
        <f t="shared" si="3"/>
        <v/>
      </c>
      <c r="E227" s="38"/>
      <c r="F227" s="38"/>
      <c r="G227" s="38"/>
      <c r="H227" s="38" t="str">
        <f>IF($H$222=14,O208,IF(H222=15,O208,""))</f>
        <v/>
      </c>
      <c r="I227" s="38"/>
      <c r="J227" s="137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9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2"/>
        <v/>
      </c>
      <c r="C228" s="38"/>
      <c r="D228" s="38" t="str">
        <f t="shared" si="3"/>
        <v/>
      </c>
      <c r="E228" s="38"/>
      <c r="F228" s="38"/>
      <c r="G228" s="38"/>
      <c r="H228" s="38" t="str">
        <f>IF($H$222=14,O209,IF(H222=15,O209,""))</f>
        <v/>
      </c>
      <c r="I228" s="38"/>
      <c r="J228" s="137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9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2"/>
        <v/>
      </c>
      <c r="C229" s="38"/>
      <c r="D229" s="38" t="str">
        <f t="shared" si="3"/>
        <v/>
      </c>
      <c r="E229" s="38"/>
      <c r="F229" s="38"/>
      <c r="G229" s="38"/>
      <c r="H229" s="38" t="str">
        <f>IF($H$222=14,O210,IF(H222=15,O210,""))</f>
        <v/>
      </c>
      <c r="I229" s="38"/>
      <c r="J229" s="137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9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2"/>
        <v/>
      </c>
      <c r="C230" s="38"/>
      <c r="D230" s="38" t="str">
        <f t="shared" si="3"/>
        <v/>
      </c>
      <c r="E230" s="38"/>
      <c r="F230" s="38"/>
      <c r="G230" s="38"/>
      <c r="H230" s="38" t="str">
        <f>IF($H$222=14,O211,IF(H222=15,O211,""))</f>
        <v/>
      </c>
      <c r="I230" s="38"/>
      <c r="J230" s="137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9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2"/>
        <v/>
      </c>
      <c r="C231" s="38"/>
      <c r="D231" s="38" t="str">
        <f t="shared" si="3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7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9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2"/>
        <v/>
      </c>
      <c r="C232" s="38"/>
      <c r="D232" s="38" t="str">
        <f t="shared" si="3"/>
        <v/>
      </c>
      <c r="E232" s="38"/>
      <c r="F232" s="38"/>
      <c r="G232" s="38"/>
      <c r="H232" s="38" t="str">
        <f>IF($H$222=16,O214,"")</f>
        <v/>
      </c>
      <c r="I232" s="38"/>
      <c r="J232" s="137" t="str">
        <f>IF($J$222=16,O214,"")</f>
        <v/>
      </c>
      <c r="K232" s="38"/>
      <c r="L232" s="38"/>
      <c r="M232" s="38"/>
      <c r="N232" s="38"/>
      <c r="O232" s="138" t="s">
        <v>51</v>
      </c>
      <c r="P232" s="38"/>
      <c r="Q232" s="38">
        <v>20</v>
      </c>
      <c r="R232" s="38"/>
      <c r="S232" s="119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2"/>
        <v/>
      </c>
      <c r="C233" s="38"/>
      <c r="D233" s="38" t="str">
        <f t="shared" si="3"/>
        <v/>
      </c>
      <c r="E233" s="38"/>
      <c r="F233" s="38"/>
      <c r="G233" s="38"/>
      <c r="H233" s="38" t="str">
        <f>IF($H$222=16,O215,"")</f>
        <v/>
      </c>
      <c r="I233" s="38"/>
      <c r="J233" s="137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9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4">IF($H$222=16,O218,"")</f>
        <v/>
      </c>
      <c r="I234" s="38"/>
      <c r="J234" s="137" t="str">
        <f t="shared" ref="J234:J243" si="5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9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4"/>
        <v/>
      </c>
      <c r="I235" s="38"/>
      <c r="J235" s="137" t="str">
        <f t="shared" si="5"/>
        <v/>
      </c>
      <c r="K235" s="38"/>
      <c r="L235" s="38"/>
      <c r="M235" s="38"/>
      <c r="N235" s="38"/>
      <c r="O235" s="38"/>
      <c r="P235" s="38"/>
      <c r="Q235" s="38"/>
      <c r="R235" s="38"/>
      <c r="S235" s="119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4"/>
        <v/>
      </c>
      <c r="I236" s="38"/>
      <c r="J236" s="137" t="str">
        <f t="shared" si="5"/>
        <v/>
      </c>
      <c r="K236" s="38"/>
      <c r="L236" s="38"/>
      <c r="M236" s="38"/>
      <c r="N236" s="38"/>
      <c r="O236" s="38"/>
      <c r="P236" s="38"/>
      <c r="Q236" s="38"/>
      <c r="R236" s="38"/>
      <c r="S236" s="119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4"/>
        <v/>
      </c>
      <c r="I237" s="38"/>
      <c r="J237" s="137" t="str">
        <f t="shared" si="5"/>
        <v/>
      </c>
      <c r="K237" s="38"/>
      <c r="L237" s="38"/>
      <c r="M237" s="38"/>
      <c r="N237" s="38"/>
      <c r="O237" s="38"/>
      <c r="P237" s="38"/>
      <c r="Q237" s="38"/>
      <c r="R237" s="38"/>
      <c r="S237" s="119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4"/>
        <v/>
      </c>
      <c r="I238" s="38"/>
      <c r="J238" s="137" t="str">
        <f t="shared" si="5"/>
        <v/>
      </c>
      <c r="K238" s="38"/>
      <c r="L238" s="38"/>
      <c r="M238" s="38"/>
      <c r="N238" s="38"/>
      <c r="O238" s="38"/>
      <c r="P238" s="38"/>
      <c r="Q238" s="38"/>
      <c r="R238" s="38"/>
      <c r="S238" s="119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4"/>
        <v/>
      </c>
      <c r="I239" s="38"/>
      <c r="J239" s="137" t="str">
        <f t="shared" si="5"/>
        <v/>
      </c>
      <c r="K239" s="38"/>
      <c r="L239" s="38"/>
      <c r="M239" s="38"/>
      <c r="N239" s="38"/>
      <c r="O239" s="38"/>
      <c r="P239" s="38"/>
      <c r="Q239" s="38"/>
      <c r="R239" s="38"/>
      <c r="S239" s="119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4"/>
        <v/>
      </c>
      <c r="I240" s="38"/>
      <c r="J240" s="137" t="str">
        <f t="shared" si="5"/>
        <v/>
      </c>
      <c r="K240" s="38"/>
      <c r="L240" s="38"/>
      <c r="M240" s="38"/>
      <c r="N240" s="38"/>
      <c r="O240" s="38"/>
      <c r="P240" s="38"/>
      <c r="Q240" s="38"/>
      <c r="R240" s="38"/>
      <c r="S240" s="119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4"/>
        <v/>
      </c>
      <c r="I241" s="38"/>
      <c r="J241" s="137" t="str">
        <f t="shared" si="5"/>
        <v/>
      </c>
      <c r="K241" s="38"/>
      <c r="L241" s="38"/>
      <c r="M241" s="38"/>
      <c r="N241" s="38"/>
      <c r="O241" s="38"/>
      <c r="P241" s="38"/>
      <c r="Q241" s="38"/>
      <c r="R241" s="38"/>
      <c r="S241" s="119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4"/>
        <v/>
      </c>
      <c r="I242" s="38"/>
      <c r="J242" s="137" t="str">
        <f t="shared" si="5"/>
        <v/>
      </c>
      <c r="K242" s="38"/>
      <c r="L242" s="38"/>
      <c r="M242" s="38"/>
      <c r="N242" s="38"/>
      <c r="O242" s="38"/>
      <c r="P242" s="38"/>
      <c r="Q242" s="38"/>
      <c r="R242" s="38"/>
      <c r="S242" s="119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4"/>
        <v/>
      </c>
      <c r="I243" s="38"/>
      <c r="J243" s="137" t="str">
        <f t="shared" si="5"/>
        <v/>
      </c>
      <c r="K243" s="38"/>
      <c r="L243" s="38"/>
      <c r="M243" s="38"/>
      <c r="N243" s="38"/>
      <c r="O243" s="38"/>
      <c r="P243" s="38"/>
      <c r="Q243" s="38"/>
      <c r="R243" s="38"/>
      <c r="S243" s="119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7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9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7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9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7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9"/>
      <c r="T246" s="52"/>
      <c r="U246" s="53"/>
      <c r="V246" s="53"/>
      <c r="W246" s="53"/>
      <c r="X246" s="38"/>
      <c r="Y246" s="38"/>
    </row>
    <row r="247" spans="1:25" hidden="1">
      <c r="A247" s="38"/>
      <c r="B247" s="65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7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9"/>
      <c r="T247" s="52"/>
      <c r="U247" s="53"/>
      <c r="V247" s="53"/>
      <c r="W247" s="53"/>
      <c r="X247" s="38"/>
      <c r="Y247" s="38"/>
    </row>
    <row r="248" spans="1:25" hidden="1">
      <c r="A248" s="38"/>
      <c r="B248" s="65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7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9"/>
      <c r="T248" s="52"/>
      <c r="U248" s="53"/>
      <c r="V248" s="53"/>
      <c r="W248" s="53"/>
      <c r="X248" s="38"/>
      <c r="Y248" s="38"/>
    </row>
    <row r="249" spans="1:25" hidden="1">
      <c r="A249" s="38"/>
      <c r="B249" s="65"/>
      <c r="C249" s="38"/>
      <c r="D249" s="38"/>
      <c r="E249" s="38"/>
      <c r="F249" s="38"/>
      <c r="G249" s="38"/>
      <c r="H249" s="38"/>
      <c r="I249" s="38"/>
      <c r="J249" s="137"/>
      <c r="K249" s="38"/>
      <c r="L249" s="38"/>
      <c r="M249" s="38"/>
      <c r="N249" s="38"/>
      <c r="O249" s="38"/>
      <c r="P249" s="38"/>
      <c r="Q249" s="38"/>
      <c r="R249" s="38"/>
      <c r="S249" s="119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9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9" t="s">
        <v>71</v>
      </c>
      <c r="C268" s="140"/>
      <c r="D268" s="140"/>
      <c r="E268" s="140"/>
      <c r="F268" s="140"/>
      <c r="G268" s="38"/>
      <c r="H268" s="38"/>
      <c r="I268" s="139" t="s">
        <v>71</v>
      </c>
      <c r="J268" s="140"/>
      <c r="K268" s="140"/>
      <c r="L268" s="140"/>
      <c r="M268" s="140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9" t="s">
        <v>70</v>
      </c>
      <c r="C269" s="141"/>
      <c r="D269" s="141"/>
      <c r="E269" s="65" t="str">
        <f>IF($B$232="ton (Mg)",#REF!/1000,"-   ")</f>
        <v xml:space="preserve">-   </v>
      </c>
      <c r="F269" s="38" t="s">
        <v>69</v>
      </c>
      <c r="G269" s="38"/>
      <c r="H269" s="38"/>
      <c r="I269" s="139" t="s">
        <v>70</v>
      </c>
      <c r="J269" s="141"/>
      <c r="K269" s="141"/>
      <c r="L269" s="65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9" t="s">
        <v>67</v>
      </c>
      <c r="C270" s="141"/>
      <c r="D270" s="141"/>
      <c r="E270" s="65" t="e">
        <f>IF(#REF!="m3",#REF!/1000000,"-   ")</f>
        <v>#REF!</v>
      </c>
      <c r="F270" s="38" t="s">
        <v>66</v>
      </c>
      <c r="G270" s="38"/>
      <c r="H270" s="38"/>
      <c r="I270" s="139" t="s">
        <v>67</v>
      </c>
      <c r="J270" s="141"/>
      <c r="K270" s="141"/>
      <c r="L270" s="65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9" t="s">
        <v>64</v>
      </c>
      <c r="C271" s="141"/>
      <c r="D271" s="141"/>
      <c r="E271" s="65" t="str">
        <f>IF($B$232="m3",#REF!/#REF!,"-   ")</f>
        <v xml:space="preserve">-   </v>
      </c>
      <c r="F271" s="38" t="s">
        <v>63</v>
      </c>
      <c r="G271" s="38"/>
      <c r="H271" s="38"/>
      <c r="I271" s="139" t="s">
        <v>64</v>
      </c>
      <c r="J271" s="141"/>
      <c r="K271" s="141"/>
      <c r="L271" s="65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9" t="s">
        <v>125</v>
      </c>
      <c r="C272" s="141"/>
      <c r="D272" s="141"/>
      <c r="E272" s="142" t="str">
        <f>IF($B$232="kg",#REF!/0.73/10^6,"-   ")</f>
        <v xml:space="preserve">-   </v>
      </c>
      <c r="F272" s="38" t="s">
        <v>66</v>
      </c>
      <c r="G272" s="38"/>
      <c r="H272" s="38"/>
      <c r="I272" s="139" t="s">
        <v>125</v>
      </c>
      <c r="J272" s="141"/>
      <c r="K272" s="141"/>
      <c r="L272" s="142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9" t="s">
        <v>123</v>
      </c>
      <c r="C273" s="141"/>
      <c r="D273" s="141"/>
      <c r="E273" s="65" t="str">
        <f>IF($B$232="kg",#REF!/580,"-   ")</f>
        <v xml:space="preserve">-   </v>
      </c>
      <c r="F273" s="38" t="s">
        <v>124</v>
      </c>
      <c r="G273" s="140"/>
      <c r="H273" s="38"/>
      <c r="I273" s="139" t="s">
        <v>123</v>
      </c>
      <c r="J273" s="141"/>
      <c r="K273" s="141"/>
      <c r="L273" s="65" t="str">
        <f>IF($E$231="kg",#REF!/580,"-   ")</f>
        <v xml:space="preserve">-   </v>
      </c>
      <c r="M273" s="38" t="s">
        <v>124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4.4" hidden="1" thickBot="1">
      <c r="A275" s="38"/>
      <c r="B275" s="44" t="s">
        <v>127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4.4" hidden="1" thickBot="1">
      <c r="A276" s="38"/>
      <c r="B276" s="131" t="s">
        <v>128</v>
      </c>
      <c r="C276" s="38"/>
      <c r="D276" s="38"/>
      <c r="E276" s="38"/>
      <c r="F276" s="38"/>
      <c r="G276" s="38"/>
      <c r="H276" s="38"/>
      <c r="I276" s="143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ZcLd24n3COTWglmBaWTBD/FuC/IFU1XLgYzqP/D8mNpr9cyEXddaKL2Dl604qlXQD4TqNgYRzMZvVX8upfODqA==" saltValue="mmtXn+mGIyUQNRbYqKlHTw==" spinCount="100000" sheet="1" formatRows="0"/>
  <mergeCells count="171"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</mergeCells>
  <conditionalFormatting sqref="A5:F5">
    <cfRule type="cellIs" dxfId="50" priority="1" operator="equal">
      <formula>""</formula>
    </cfRule>
  </conditionalFormatting>
  <conditionalFormatting sqref="C20">
    <cfRule type="cellIs" dxfId="49" priority="8" operator="equal">
      <formula>""</formula>
    </cfRule>
  </conditionalFormatting>
  <conditionalFormatting sqref="C11:F19">
    <cfRule type="cellIs" dxfId="48" priority="9" operator="equal">
      <formula>""</formula>
    </cfRule>
  </conditionalFormatting>
  <conditionalFormatting sqref="C23:F25">
    <cfRule type="cellIs" dxfId="47" priority="6" operator="equal">
      <formula>""</formula>
    </cfRule>
  </conditionalFormatting>
  <conditionalFormatting sqref="C40:F41">
    <cfRule type="cellIs" dxfId="46" priority="2" operator="equal">
      <formula>""</formula>
    </cfRule>
  </conditionalFormatting>
  <conditionalFormatting sqref="E20">
    <cfRule type="cellIs" dxfId="45" priority="7" operator="equal">
      <formula>""</formula>
    </cfRule>
  </conditionalFormatting>
  <dataValidations disablePrompts="1"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&amp;C&amp;"Arial,Normalny"&amp;8Strona &amp;P z &amp;N&amp;R&amp;"Arial,Normalny"&amp;8v2025-1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zoomScaleNormal="100" zoomScaleSheetLayoutView="100" workbookViewId="0">
      <selection activeCell="A5" sqref="A5:H5"/>
    </sheetView>
  </sheetViews>
  <sheetFormatPr defaultColWidth="9" defaultRowHeight="13.8"/>
  <cols>
    <col min="1" max="1" width="3.5" style="37" customWidth="1"/>
    <col min="2" max="2" width="14.59765625" style="37" customWidth="1"/>
    <col min="3" max="4" width="7.59765625" style="37" customWidth="1"/>
    <col min="5" max="8" width="11.59765625" style="37" customWidth="1"/>
    <col min="9" max="16384" width="9" style="37"/>
  </cols>
  <sheetData>
    <row r="1" spans="1:53" ht="14.25" customHeight="1">
      <c r="A1" s="266" t="s">
        <v>209</v>
      </c>
      <c r="B1" s="266"/>
      <c r="C1" s="266"/>
      <c r="D1" s="266"/>
      <c r="E1" s="266"/>
      <c r="F1" s="266"/>
      <c r="G1" s="266"/>
      <c r="H1" s="266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36"/>
      <c r="AL1" s="236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7.399999999999999">
      <c r="A2" s="270" t="s">
        <v>352</v>
      </c>
      <c r="B2" s="270"/>
      <c r="C2" s="270"/>
      <c r="D2" s="270"/>
      <c r="E2" s="270"/>
      <c r="F2" s="270"/>
      <c r="G2" s="270"/>
      <c r="H2" s="270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70" t="s">
        <v>210</v>
      </c>
      <c r="B3" s="270"/>
      <c r="C3" s="270"/>
      <c r="D3" s="270"/>
      <c r="E3" s="270"/>
      <c r="F3" s="270"/>
      <c r="G3" s="270"/>
      <c r="H3" s="270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72" t="s">
        <v>211</v>
      </c>
      <c r="B4" s="272"/>
      <c r="C4" s="272"/>
      <c r="D4" s="272"/>
      <c r="E4" s="272"/>
      <c r="F4" s="272"/>
      <c r="G4" s="272"/>
      <c r="H4" s="272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71"/>
      <c r="B5" s="271"/>
      <c r="C5" s="271"/>
      <c r="D5" s="271"/>
      <c r="E5" s="271"/>
      <c r="F5" s="271"/>
      <c r="G5" s="271"/>
      <c r="H5" s="271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72" t="s">
        <v>166</v>
      </c>
      <c r="B6" s="272"/>
      <c r="C6" s="272"/>
      <c r="D6" s="272"/>
      <c r="E6" s="272"/>
      <c r="F6" s="272"/>
      <c r="G6" s="272"/>
      <c r="H6" s="272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4" t="s">
        <v>212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M9" s="147"/>
      <c r="N9" s="147"/>
      <c r="P9" s="148"/>
      <c r="Q9" s="148"/>
      <c r="S9" s="147"/>
      <c r="T9" s="147"/>
      <c r="U9" s="147"/>
      <c r="V9" s="147"/>
      <c r="W9" s="147"/>
      <c r="X9" s="147"/>
      <c r="Y9" s="147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09" t="s">
        <v>213</v>
      </c>
      <c r="B10" s="317" t="s">
        <v>288</v>
      </c>
      <c r="C10" s="318"/>
      <c r="D10" s="319"/>
      <c r="E10" s="311" t="s">
        <v>214</v>
      </c>
      <c r="F10" s="311"/>
      <c r="G10" s="311" t="s">
        <v>368</v>
      </c>
      <c r="H10" s="311"/>
      <c r="K10" s="150"/>
      <c r="L10" s="147"/>
      <c r="M10" s="147"/>
      <c r="N10" s="147"/>
      <c r="O10" s="148"/>
      <c r="P10" s="148"/>
      <c r="Q10" s="148"/>
      <c r="S10" s="147"/>
      <c r="T10" s="147"/>
      <c r="U10" s="14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 ht="15.6">
      <c r="A11" s="310"/>
      <c r="B11" s="320"/>
      <c r="C11" s="321"/>
      <c r="D11" s="322"/>
      <c r="E11" s="149" t="s">
        <v>369</v>
      </c>
      <c r="F11" s="149" t="s">
        <v>303</v>
      </c>
      <c r="G11" s="149" t="s">
        <v>119</v>
      </c>
      <c r="H11" s="153" t="s">
        <v>120</v>
      </c>
      <c r="I11" s="154"/>
      <c r="M11" s="155"/>
      <c r="N11" s="155"/>
      <c r="P11" s="147"/>
      <c r="S11" s="147"/>
      <c r="T11" s="147"/>
      <c r="U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5" customHeight="1">
      <c r="A12" s="156">
        <v>1</v>
      </c>
      <c r="B12" s="157" t="s">
        <v>285</v>
      </c>
      <c r="C12" s="158"/>
      <c r="D12" s="159"/>
      <c r="E12" s="160"/>
      <c r="F12" s="151" t="s">
        <v>300</v>
      </c>
      <c r="G12" s="161"/>
      <c r="H12" s="162"/>
      <c r="I12" s="148"/>
      <c r="M12" s="155"/>
      <c r="N12" s="155"/>
      <c r="P12" s="147"/>
      <c r="S12" s="147"/>
      <c r="T12" s="147"/>
      <c r="U12" s="14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5" customHeight="1">
      <c r="A13" s="163"/>
      <c r="B13" s="164"/>
      <c r="C13" s="147"/>
      <c r="D13" s="165"/>
      <c r="E13" s="160"/>
      <c r="F13" s="151" t="s">
        <v>300</v>
      </c>
      <c r="G13" s="161"/>
      <c r="H13" s="162"/>
      <c r="I13" s="148"/>
      <c r="M13" s="155"/>
      <c r="N13" s="155"/>
      <c r="P13" s="147"/>
      <c r="S13" s="147"/>
      <c r="T13" s="147"/>
      <c r="U13" s="147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5" customHeight="1">
      <c r="A14" s="163"/>
      <c r="B14" s="164"/>
      <c r="C14" s="147"/>
      <c r="D14" s="165"/>
      <c r="E14" s="160"/>
      <c r="F14" s="151" t="s">
        <v>300</v>
      </c>
      <c r="G14" s="161"/>
      <c r="H14" s="162"/>
      <c r="I14" s="148"/>
      <c r="M14" s="155"/>
      <c r="N14" s="155"/>
      <c r="P14" s="147"/>
      <c r="S14" s="147"/>
      <c r="T14" s="147"/>
      <c r="U14" s="14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5" customHeight="1">
      <c r="A15" s="163"/>
      <c r="B15" s="164"/>
      <c r="C15" s="147"/>
      <c r="D15" s="165"/>
      <c r="E15" s="160"/>
      <c r="F15" s="151" t="s">
        <v>300</v>
      </c>
      <c r="G15" s="161"/>
      <c r="H15" s="162"/>
      <c r="I15" s="148"/>
      <c r="M15" s="155"/>
      <c r="N15" s="155"/>
      <c r="P15" s="147"/>
      <c r="S15" s="147"/>
      <c r="T15" s="147"/>
      <c r="U15" s="147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5" customHeight="1">
      <c r="A16" s="166"/>
      <c r="B16" s="167" t="s">
        <v>370</v>
      </c>
      <c r="C16" s="168"/>
      <c r="D16" s="211">
        <f>SUM(E12:E16)</f>
        <v>0</v>
      </c>
      <c r="E16" s="160"/>
      <c r="F16" s="151" t="s">
        <v>300</v>
      </c>
      <c r="G16" s="161"/>
      <c r="H16" s="162"/>
      <c r="I16" s="148"/>
      <c r="M16" s="155"/>
      <c r="N16" s="155"/>
      <c r="P16" s="147"/>
      <c r="S16" s="147"/>
      <c r="T16" s="147"/>
      <c r="U16" s="14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5" customHeight="1">
      <c r="A17" s="163">
        <v>2</v>
      </c>
      <c r="B17" s="212" t="s">
        <v>286</v>
      </c>
      <c r="C17" s="158"/>
      <c r="D17" s="165"/>
      <c r="E17" s="169"/>
      <c r="F17" s="59" t="s">
        <v>300</v>
      </c>
      <c r="G17" s="161"/>
      <c r="H17" s="162"/>
      <c r="I17" s="148"/>
      <c r="M17" s="155"/>
      <c r="N17" s="155"/>
      <c r="P17" s="147"/>
      <c r="S17" s="147"/>
      <c r="T17" s="147"/>
      <c r="U17" s="14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5" customHeight="1">
      <c r="A18" s="163"/>
      <c r="B18" s="164"/>
      <c r="C18" s="147"/>
      <c r="D18" s="165"/>
      <c r="E18" s="169"/>
      <c r="F18" s="59" t="s">
        <v>300</v>
      </c>
      <c r="G18" s="161"/>
      <c r="H18" s="162"/>
      <c r="I18" s="148"/>
      <c r="M18" s="155"/>
      <c r="N18" s="155"/>
      <c r="P18" s="147"/>
      <c r="S18" s="147"/>
      <c r="T18" s="147"/>
      <c r="U18" s="14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5" customHeight="1">
      <c r="A19" s="166"/>
      <c r="B19" s="167" t="s">
        <v>370</v>
      </c>
      <c r="C19" s="168"/>
      <c r="D19" s="211">
        <f>SUM(E17:E19)</f>
        <v>0</v>
      </c>
      <c r="E19" s="169"/>
      <c r="F19" s="59" t="s">
        <v>300</v>
      </c>
      <c r="G19" s="161"/>
      <c r="H19" s="162"/>
      <c r="I19" s="148"/>
      <c r="M19" s="155"/>
      <c r="N19" s="155"/>
      <c r="P19" s="147"/>
      <c r="S19" s="147"/>
      <c r="T19" s="147"/>
      <c r="U19" s="14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5" customHeight="1">
      <c r="A20" s="163">
        <v>3</v>
      </c>
      <c r="B20" s="157" t="s">
        <v>287</v>
      </c>
      <c r="C20" s="158"/>
      <c r="D20" s="159"/>
      <c r="E20" s="170"/>
      <c r="F20" s="171"/>
      <c r="G20" s="161"/>
      <c r="H20" s="162"/>
      <c r="I20" s="148"/>
      <c r="M20" s="155"/>
      <c r="N20" s="155"/>
      <c r="P20" s="147"/>
      <c r="S20" s="147"/>
      <c r="T20" s="147"/>
      <c r="U20" s="14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5" customHeight="1">
      <c r="A21" s="166"/>
      <c r="B21" s="172" t="s">
        <v>302</v>
      </c>
      <c r="C21" s="168">
        <f>SUM(E20:E21)</f>
        <v>0</v>
      </c>
      <c r="D21" s="173">
        <f>SUM(F20:F21)</f>
        <v>0</v>
      </c>
      <c r="E21" s="170"/>
      <c r="F21" s="171"/>
      <c r="G21" s="161"/>
      <c r="H21" s="162"/>
      <c r="I21" s="148"/>
      <c r="M21" s="155"/>
      <c r="N21" s="155"/>
      <c r="P21" s="147"/>
      <c r="S21" s="147"/>
      <c r="T21" s="147"/>
      <c r="U21" s="147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5" customHeight="1">
      <c r="A22" s="163">
        <v>4</v>
      </c>
      <c r="B22" s="157" t="s">
        <v>290</v>
      </c>
      <c r="C22" s="158"/>
      <c r="D22" s="159"/>
      <c r="E22" s="170"/>
      <c r="F22" s="171"/>
      <c r="G22" s="161"/>
      <c r="H22" s="162"/>
      <c r="I22" s="148"/>
      <c r="M22" s="155"/>
      <c r="N22" s="155"/>
      <c r="P22" s="147"/>
      <c r="S22" s="147"/>
      <c r="T22" s="147"/>
      <c r="U22" s="14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5" customHeight="1">
      <c r="A23" s="115"/>
      <c r="B23" s="172" t="s">
        <v>302</v>
      </c>
      <c r="C23" s="168">
        <f>SUM(E22:E23)</f>
        <v>0</v>
      </c>
      <c r="D23" s="173">
        <f>SUM(F22:F23)</f>
        <v>0</v>
      </c>
      <c r="E23" s="170"/>
      <c r="F23" s="171"/>
      <c r="G23" s="161"/>
      <c r="H23" s="162"/>
      <c r="I23" s="148"/>
      <c r="M23" s="150"/>
      <c r="N23" s="150"/>
      <c r="O23" s="150"/>
      <c r="P23" s="150"/>
      <c r="Q23" s="150"/>
      <c r="S23" s="150"/>
      <c r="T23" s="150"/>
      <c r="U23" s="15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4">
        <v>5</v>
      </c>
      <c r="B24" s="316"/>
      <c r="C24" s="316"/>
      <c r="D24" s="316"/>
      <c r="E24" s="170"/>
      <c r="F24" s="175"/>
      <c r="G24" s="162"/>
      <c r="H24" s="162"/>
      <c r="I24" s="150"/>
      <c r="L24" s="145"/>
      <c r="M24" s="145"/>
      <c r="N24" s="145"/>
      <c r="O24" s="145"/>
      <c r="P24" s="145"/>
      <c r="R24" s="145"/>
      <c r="S24" s="145"/>
      <c r="T24" s="145"/>
      <c r="U24" s="145"/>
      <c r="V24" s="145"/>
      <c r="W24" s="145"/>
      <c r="X24" s="145"/>
      <c r="Y24" s="146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4" t="s">
        <v>215</v>
      </c>
      <c r="B26" s="42"/>
      <c r="C26" s="42"/>
      <c r="D26" s="42"/>
      <c r="E26" s="42"/>
      <c r="F26" s="42"/>
      <c r="G26" s="42"/>
      <c r="H26" s="42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8.25" customHeight="1">
      <c r="A28" s="174" t="s">
        <v>213</v>
      </c>
      <c r="B28" s="348" t="s">
        <v>289</v>
      </c>
      <c r="C28" s="349"/>
      <c r="D28" s="350"/>
      <c r="E28" s="324" t="s">
        <v>216</v>
      </c>
      <c r="F28" s="325"/>
      <c r="G28" s="325"/>
      <c r="H28" s="326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280" t="s">
        <v>295</v>
      </c>
      <c r="C29" s="312"/>
      <c r="D29" s="281"/>
      <c r="E29" s="327"/>
      <c r="F29" s="328"/>
      <c r="G29" s="328"/>
      <c r="H29" s="329"/>
      <c r="I29" s="150"/>
      <c r="J29" s="150"/>
      <c r="K29" s="150"/>
      <c r="L29" s="150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280" t="s">
        <v>296</v>
      </c>
      <c r="C30" s="312"/>
      <c r="D30" s="281"/>
      <c r="E30" s="327"/>
      <c r="F30" s="328"/>
      <c r="G30" s="328"/>
      <c r="H30" s="329"/>
      <c r="I30" s="150"/>
      <c r="J30" s="150"/>
      <c r="K30" s="150"/>
      <c r="L30" s="150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280" t="s">
        <v>298</v>
      </c>
      <c r="C31" s="312"/>
      <c r="D31" s="281"/>
      <c r="E31" s="327"/>
      <c r="F31" s="328"/>
      <c r="G31" s="328"/>
      <c r="H31" s="329"/>
      <c r="I31" s="150"/>
      <c r="J31" s="150"/>
      <c r="K31" s="150"/>
      <c r="L31" s="150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280" t="s">
        <v>371</v>
      </c>
      <c r="C32" s="312"/>
      <c r="D32" s="281"/>
      <c r="E32" s="327"/>
      <c r="F32" s="328"/>
      <c r="G32" s="328"/>
      <c r="H32" s="329"/>
      <c r="I32" s="150"/>
      <c r="J32" s="150"/>
      <c r="K32" s="150"/>
      <c r="L32" s="150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6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280" t="s">
        <v>217</v>
      </c>
      <c r="C33" s="312"/>
      <c r="D33" s="281"/>
      <c r="E33" s="327"/>
      <c r="F33" s="328"/>
      <c r="G33" s="328"/>
      <c r="H33" s="329"/>
      <c r="I33" s="150"/>
      <c r="J33" s="150"/>
      <c r="K33" s="150"/>
      <c r="L33" s="150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280" t="s">
        <v>218</v>
      </c>
      <c r="C34" s="312"/>
      <c r="D34" s="281"/>
      <c r="E34" s="327"/>
      <c r="F34" s="328"/>
      <c r="G34" s="328"/>
      <c r="H34" s="329"/>
      <c r="I34" s="150"/>
      <c r="J34" s="150"/>
      <c r="K34" s="150"/>
      <c r="L34" s="15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6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27"/>
      <c r="C35" s="328"/>
      <c r="D35" s="329"/>
      <c r="E35" s="327"/>
      <c r="F35" s="328"/>
      <c r="G35" s="328"/>
      <c r="H35" s="329"/>
      <c r="I35" s="150"/>
      <c r="J35" s="150"/>
      <c r="K35" s="150"/>
      <c r="L35" s="150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6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50"/>
      <c r="H36" s="150"/>
      <c r="I36" s="150"/>
      <c r="J36" s="150"/>
      <c r="K36" s="150"/>
      <c r="L36" s="150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219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5" customHeight="1">
      <c r="A39" s="313" t="s">
        <v>167</v>
      </c>
      <c r="B39" s="314"/>
      <c r="C39" s="314"/>
      <c r="D39" s="315"/>
      <c r="E39" s="269" t="s">
        <v>168</v>
      </c>
      <c r="F39" s="269"/>
      <c r="G39" s="269" t="s">
        <v>112</v>
      </c>
      <c r="H39" s="269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5" customHeight="1">
      <c r="A40" s="313" t="s">
        <v>189</v>
      </c>
      <c r="B40" s="314"/>
      <c r="C40" s="314"/>
      <c r="D40" s="315"/>
      <c r="E40" s="307"/>
      <c r="F40" s="307"/>
      <c r="G40" s="307"/>
      <c r="H40" s="307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5" customHeight="1">
      <c r="A41" s="313" t="s">
        <v>190</v>
      </c>
      <c r="B41" s="314"/>
      <c r="C41" s="314"/>
      <c r="D41" s="315"/>
      <c r="E41" s="307"/>
      <c r="F41" s="307"/>
      <c r="G41" s="307"/>
      <c r="H41" s="307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13" t="s">
        <v>191</v>
      </c>
      <c r="B42" s="314"/>
      <c r="C42" s="314"/>
      <c r="D42" s="315"/>
      <c r="E42" s="323"/>
      <c r="F42" s="323"/>
      <c r="G42" s="323"/>
      <c r="H42" s="323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5" customHeight="1">
      <c r="A43" s="313" t="s">
        <v>192</v>
      </c>
      <c r="B43" s="314"/>
      <c r="C43" s="314"/>
      <c r="D43" s="315"/>
      <c r="E43" s="323"/>
      <c r="F43" s="323"/>
      <c r="G43" s="323"/>
      <c r="H43" s="323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5" customHeight="1">
      <c r="A44" s="313" t="s">
        <v>193</v>
      </c>
      <c r="B44" s="314"/>
      <c r="C44" s="314"/>
      <c r="D44" s="315"/>
      <c r="E44" s="323"/>
      <c r="F44" s="323"/>
      <c r="G44" s="323"/>
      <c r="H44" s="323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5" customHeight="1">
      <c r="A45" s="313" t="s">
        <v>188</v>
      </c>
      <c r="B45" s="314"/>
      <c r="C45" s="314"/>
      <c r="D45" s="315"/>
      <c r="E45" s="323"/>
      <c r="F45" s="323"/>
      <c r="G45" s="323"/>
      <c r="H45" s="323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5" customHeight="1">
      <c r="A46" s="313" t="s">
        <v>169</v>
      </c>
      <c r="B46" s="314"/>
      <c r="C46" s="314"/>
      <c r="D46" s="315"/>
      <c r="E46" s="323"/>
      <c r="F46" s="323"/>
      <c r="G46" s="323"/>
      <c r="H46" s="323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13" t="s">
        <v>194</v>
      </c>
      <c r="B47" s="314"/>
      <c r="C47" s="314"/>
      <c r="D47" s="315"/>
      <c r="E47" s="323"/>
      <c r="F47" s="323"/>
      <c r="G47" s="323"/>
      <c r="H47" s="323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5" customHeight="1">
      <c r="A48" s="313" t="s">
        <v>268</v>
      </c>
      <c r="B48" s="314"/>
      <c r="C48" s="314"/>
      <c r="D48" s="315"/>
      <c r="E48" s="308"/>
      <c r="F48" s="308"/>
      <c r="G48" s="308"/>
      <c r="H48" s="308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5" customHeight="1">
      <c r="A49" s="313" t="s">
        <v>181</v>
      </c>
      <c r="B49" s="314"/>
      <c r="C49" s="314"/>
      <c r="D49" s="315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277"/>
      <c r="F51" s="277"/>
      <c r="G51" s="277"/>
      <c r="H51" s="277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5" customHeight="1">
      <c r="A52" s="280" t="s">
        <v>353</v>
      </c>
      <c r="B52" s="312"/>
      <c r="C52" s="312"/>
      <c r="D52" s="281"/>
      <c r="E52" s="274"/>
      <c r="F52" s="274"/>
      <c r="G52" s="274"/>
      <c r="H52" s="274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5" customHeight="1">
      <c r="A53" s="280" t="s">
        <v>273</v>
      </c>
      <c r="B53" s="312"/>
      <c r="C53" s="312"/>
      <c r="D53" s="281"/>
      <c r="E53" s="274"/>
      <c r="F53" s="274"/>
      <c r="G53" s="274"/>
      <c r="H53" s="274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5" customHeight="1">
      <c r="A54" s="280" t="s">
        <v>171</v>
      </c>
      <c r="B54" s="312"/>
      <c r="C54" s="312"/>
      <c r="D54" s="281"/>
      <c r="E54" s="274"/>
      <c r="F54" s="274"/>
      <c r="G54" s="274"/>
      <c r="H54" s="274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6.2">
      <c r="A56" s="51" t="s">
        <v>372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39" t="s">
        <v>109</v>
      </c>
      <c r="B58" s="340"/>
      <c r="C58" s="340"/>
      <c r="D58" s="341"/>
      <c r="E58" s="269" t="s">
        <v>110</v>
      </c>
      <c r="F58" s="269"/>
      <c r="G58" s="269" t="s">
        <v>111</v>
      </c>
      <c r="H58" s="26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6.4">
      <c r="A59" s="342"/>
      <c r="B59" s="343"/>
      <c r="C59" s="343"/>
      <c r="D59" s="344"/>
      <c r="E59" s="176" t="s">
        <v>115</v>
      </c>
      <c r="F59" s="177" t="s">
        <v>112</v>
      </c>
      <c r="G59" s="53" t="s">
        <v>113</v>
      </c>
      <c r="H59" s="53" t="s">
        <v>114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>
      <c r="A60" s="290">
        <v>1</v>
      </c>
      <c r="B60" s="351"/>
      <c r="C60" s="351"/>
      <c r="D60" s="291"/>
      <c r="E60" s="53">
        <v>2</v>
      </c>
      <c r="F60" s="53">
        <v>3</v>
      </c>
      <c r="G60" s="53">
        <v>4</v>
      </c>
      <c r="H60" s="53">
        <v>5</v>
      </c>
      <c r="O60" s="38"/>
      <c r="P60" s="38"/>
      <c r="Q60" s="38"/>
      <c r="R60" s="38"/>
      <c r="S60" s="38"/>
      <c r="T60" s="61"/>
      <c r="U60" s="44"/>
      <c r="V60" s="38"/>
      <c r="W60" s="38"/>
      <c r="X60" s="38"/>
      <c r="Y60" s="38"/>
      <c r="Z60" s="38"/>
      <c r="AA60" s="44"/>
      <c r="AB60" s="44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2"/>
      <c r="AS60" s="38"/>
      <c r="AT60" s="38"/>
      <c r="AU60" s="38"/>
      <c r="AV60" s="38"/>
      <c r="AW60" s="42"/>
      <c r="AX60" s="47"/>
      <c r="AY60" s="47"/>
      <c r="AZ60" s="47"/>
      <c r="BA60" s="38"/>
    </row>
    <row r="61" spans="1:53" ht="13.95" customHeight="1">
      <c r="A61" s="313" t="s">
        <v>355</v>
      </c>
      <c r="B61" s="314"/>
      <c r="C61" s="314"/>
      <c r="D61" s="315"/>
      <c r="E61" s="62">
        <f>IF($O$161&lt;301001,$E$49*$E$52*$O$180*(100-$F$174)/100,IF($O$161&lt;=301003,"Nie oblicza się",IF($O$161&lt;701001,$E$49*$E$52*$O$180*(100-$F$174)/100,$E$49*$O$180*(100-$F$174)/100)))</f>
        <v>0</v>
      </c>
      <c r="F61" s="62">
        <f>IF($Q$161&lt;301001,$G$49*$G$52*$Q$180*(100-$K$174)/100,IF($Q$161&lt;=301003,"Nie oblicza się",IF($Q$161&lt;701001,$G$49*$G$52*$Q$180*(100-$K$174)/100,$G$49*$Q$180*(100-$K$174)/100)))</f>
        <v>0</v>
      </c>
      <c r="G61" s="62">
        <f>IF(E61-F61&gt;0,E61-F61,0)</f>
        <v>0</v>
      </c>
      <c r="H61" s="63">
        <f>IF(E61=0,0,(G61/E61)*100)</f>
        <v>0</v>
      </c>
      <c r="O61" s="38"/>
      <c r="P61" s="64"/>
      <c r="Q61" s="38"/>
      <c r="R61" s="38"/>
      <c r="S61" s="38"/>
      <c r="T61" s="38"/>
      <c r="U61" s="38"/>
      <c r="V61" s="38"/>
      <c r="W61" s="64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5" customHeight="1">
      <c r="A62" s="313" t="s">
        <v>356</v>
      </c>
      <c r="B62" s="314"/>
      <c r="C62" s="314"/>
      <c r="D62" s="315"/>
      <c r="E62" s="62">
        <f>IF($O$161&lt;301001,$E$49*$O$181*(100-$F$175)/100,IF($O$161&lt;=301003,"Nie oblicza się",$E$49*$O$181*(100-$F$175)/100))</f>
        <v>0</v>
      </c>
      <c r="F62" s="62">
        <f>IF($Q$161&lt;301001,$G$49*$Q$181*(100-$K$175)/100,IF($Q$161&lt;=301003,"Nie oblicza się",$G$49*$Q$181*(100-$K$175)/100))</f>
        <v>0</v>
      </c>
      <c r="G62" s="62">
        <f t="shared" ref="G62:G64" si="0">IF(E62-F62&gt;0,E62-F62,0)</f>
        <v>0</v>
      </c>
      <c r="H62" s="63">
        <f t="shared" ref="H62:H64" si="1">IF(E62=0,0,(G62/E62)*100)</f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5" customHeight="1">
      <c r="A63" s="313" t="s">
        <v>40</v>
      </c>
      <c r="B63" s="314"/>
      <c r="C63" s="314"/>
      <c r="D63" s="315"/>
      <c r="E63" s="62">
        <f>IF($O$161&lt;301001,$E$49*$O$183*(100-$F$176)/100,IF($O$161&lt;=301003,"Nie oblicza się",$E$49*$O$183*(100-$F$176)/100))</f>
        <v>0</v>
      </c>
      <c r="F63" s="62">
        <f>IF($Q$161&lt;301001,$G$49*$Q$183*(100-$K$176)/100,IF($Q$161&lt;=301003,"Nie oblicza się",$G$49*$Q$183*(100-$K$176)/100))</f>
        <v>0</v>
      </c>
      <c r="G63" s="62">
        <f t="shared" si="0"/>
        <v>0</v>
      </c>
      <c r="H63" s="63">
        <f t="shared" si="1"/>
        <v>0</v>
      </c>
      <c r="L63" s="65"/>
      <c r="O63" s="38"/>
      <c r="P63" s="38"/>
      <c r="Q63" s="66"/>
      <c r="R63" s="67"/>
      <c r="S63" s="67"/>
      <c r="T63" s="68"/>
      <c r="U63" s="38"/>
      <c r="V63" s="38"/>
      <c r="W63" s="38"/>
      <c r="X63" s="66"/>
      <c r="Y63" s="67"/>
      <c r="Z63" s="67"/>
      <c r="AA63" s="6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5" customHeight="1">
      <c r="A64" s="237" t="s">
        <v>41</v>
      </c>
      <c r="B64" s="338"/>
      <c r="C64" s="338"/>
      <c r="D64" s="238"/>
      <c r="E64" s="62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2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2">
        <f t="shared" si="0"/>
        <v>0</v>
      </c>
      <c r="H64" s="63">
        <f t="shared" si="1"/>
        <v>0</v>
      </c>
      <c r="O64" s="38"/>
      <c r="P64" s="69"/>
      <c r="Q64" s="70"/>
      <c r="R64" s="70"/>
      <c r="S64" s="70"/>
      <c r="T64" s="70"/>
      <c r="U64" s="70"/>
      <c r="V64" s="38"/>
      <c r="W64" s="69"/>
      <c r="X64" s="70"/>
      <c r="Y64" s="70"/>
      <c r="Z64" s="70"/>
      <c r="AA64" s="70"/>
      <c r="AB64" s="70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4"/>
      <c r="R65" s="64"/>
      <c r="S65" s="64"/>
      <c r="T65" s="64"/>
      <c r="U65" s="64"/>
      <c r="V65" s="71"/>
      <c r="W65" s="71"/>
      <c r="X65" s="66"/>
      <c r="AA65" s="6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8">
      <c r="A66" s="51" t="s">
        <v>373</v>
      </c>
      <c r="O66" s="38"/>
      <c r="P66" s="38"/>
      <c r="Q66" s="38"/>
      <c r="R66" s="68"/>
      <c r="S66" s="68"/>
      <c r="T66" s="68"/>
      <c r="U66" s="68"/>
      <c r="V66" s="38"/>
      <c r="W66" s="38"/>
      <c r="X66" s="38"/>
      <c r="Y66" s="66"/>
      <c r="Z66" s="67"/>
      <c r="AA66" s="6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35" t="s">
        <v>167</v>
      </c>
      <c r="B68" s="336"/>
      <c r="C68" s="336"/>
      <c r="D68" s="337"/>
      <c r="E68" s="269" t="s">
        <v>168</v>
      </c>
      <c r="F68" s="269"/>
      <c r="G68" s="269" t="s">
        <v>112</v>
      </c>
      <c r="H68" s="269"/>
      <c r="O68" s="38"/>
      <c r="P68" s="72"/>
      <c r="Q68" s="73"/>
      <c r="R68" s="73"/>
      <c r="S68" s="73"/>
      <c r="T68" s="73"/>
      <c r="U68" s="73"/>
      <c r="W68" s="72"/>
      <c r="X68" s="73"/>
      <c r="Y68" s="73"/>
      <c r="Z68" s="73"/>
      <c r="AA68" s="73"/>
      <c r="AB68" s="73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280" t="s">
        <v>411</v>
      </c>
      <c r="B69" s="312"/>
      <c r="C69" s="312"/>
      <c r="D69" s="281"/>
      <c r="E69" s="333"/>
      <c r="F69" s="334"/>
      <c r="G69" s="333"/>
      <c r="H69" s="333"/>
      <c r="O69" s="38"/>
      <c r="P69" s="73"/>
      <c r="Q69" s="73"/>
      <c r="R69" s="73"/>
      <c r="S69" s="73"/>
      <c r="T69" s="73"/>
      <c r="U69" s="73"/>
      <c r="W69" s="73"/>
      <c r="X69" s="73"/>
      <c r="Y69" s="73"/>
      <c r="Z69" s="73"/>
      <c r="AA69" s="73"/>
      <c r="AB69" s="73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" customHeight="1">
      <c r="A70" s="280" t="s">
        <v>191</v>
      </c>
      <c r="B70" s="312"/>
      <c r="C70" s="312"/>
      <c r="D70" s="281"/>
      <c r="E70" s="330"/>
      <c r="F70" s="331"/>
      <c r="G70" s="289"/>
      <c r="H70" s="332"/>
      <c r="O70" s="38"/>
      <c r="P70" s="73"/>
      <c r="Q70" s="73"/>
      <c r="R70" s="73"/>
      <c r="S70" s="73"/>
      <c r="T70" s="73"/>
      <c r="U70" s="73"/>
      <c r="W70" s="73"/>
      <c r="X70" s="73"/>
      <c r="Y70" s="73"/>
      <c r="Z70" s="73"/>
      <c r="AA70" s="73"/>
      <c r="AB70" s="73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5" customHeight="1">
      <c r="A71" s="237" t="s">
        <v>284</v>
      </c>
      <c r="B71" s="338"/>
      <c r="C71" s="338"/>
      <c r="D71" s="238"/>
      <c r="E71" s="74" t="e">
        <f>IF(F71=W230,VLOOKUP(J252,KOBIZE!T7:X57,3),IF(F71=X230,VLOOKUP(J252,KOBIZE!T7:X57,4),"N/d"))</f>
        <v>#N/A</v>
      </c>
      <c r="F71" s="75" t="str">
        <f>IF(E70=Q238,X230,IF(E70=Q239,X230,IF(E70=Q240,X230,IF(E70=Q260,X230,IF(E70=Q261,X230,IF(E70=J231,"N/d",W230))))))</f>
        <v>MJ/kg</v>
      </c>
      <c r="G71" s="76" t="e">
        <f>IF(H71=W230,VLOOKUP(L252,KOBIZE!T7:X57,3),IF(H71=X230,VLOOKUP(L252,KOBIZE!T7:X57,4),"N/d"))</f>
        <v>#N/A</v>
      </c>
      <c r="H71" s="77" t="str">
        <f>IF(G70=Q238,X230,IF(G70=Q239,X230,IF(G70=Q240,X230,IF(G70=Q260,X230,IF(G70=Q261,X230,IF(G70=J231,"N/d",W230))))))</f>
        <v>MJ/kg</v>
      </c>
      <c r="O71" s="38"/>
      <c r="P71" s="73"/>
      <c r="Q71" s="73"/>
      <c r="R71" s="73"/>
      <c r="S71" s="73"/>
      <c r="T71" s="73"/>
      <c r="U71" s="73"/>
      <c r="W71" s="73"/>
      <c r="X71" s="73"/>
      <c r="Y71" s="73"/>
      <c r="Z71" s="73"/>
      <c r="AA71" s="73"/>
      <c r="AB71" s="73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5" customHeight="1">
      <c r="A72" s="237" t="s">
        <v>170</v>
      </c>
      <c r="B72" s="338"/>
      <c r="C72" s="338"/>
      <c r="D72" s="238"/>
      <c r="E72" s="78">
        <f>IF(E70=J231,"N/d",IF(F49="mln m3",E49*10^6,IF(F49="m3",E49*G232,IF(F49="ton (Mg)",E49*1000))))</f>
        <v>0</v>
      </c>
      <c r="F72" s="79" t="str">
        <f>IF(F71=W230,"kg/rok",IF(F71=X230,"m3/rok","N/d"))</f>
        <v>kg/rok</v>
      </c>
      <c r="G72" s="78">
        <f>IF(G70=K231,"N/d",IF(H49="mln m3",G49*10^6,IF(H49="m3",G49*G232,IF(H49="ton (Mg)",G49*1000))))</f>
        <v>0</v>
      </c>
      <c r="H72" s="77" t="str">
        <f>IF(H71=W230,"kg/rok",IF(H71=X230,"m3/rok","N/d"))</f>
        <v>kg/rok</v>
      </c>
      <c r="O72" s="38"/>
      <c r="P72" s="73"/>
      <c r="Q72" s="73"/>
      <c r="R72" s="73"/>
      <c r="S72" s="73"/>
      <c r="T72" s="73"/>
      <c r="U72" s="73"/>
      <c r="V72" s="38"/>
      <c r="W72" s="73"/>
      <c r="X72" s="73"/>
      <c r="Y72" s="73"/>
      <c r="Z72" s="73"/>
      <c r="AA72" s="73"/>
      <c r="AB72" s="73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5" customHeight="1">
      <c r="A73" s="237" t="s">
        <v>196</v>
      </c>
      <c r="B73" s="338"/>
      <c r="C73" s="338"/>
      <c r="D73" s="238"/>
      <c r="E73" s="299" t="e">
        <f>IF(E71&lt;&gt;"N/d",((E71*E72)/1000),"N/d")</f>
        <v>#N/A</v>
      </c>
      <c r="F73" s="300"/>
      <c r="G73" s="301" t="e">
        <f>IF(G71&lt;&gt;"N/d",((G71*G72)/1000),"N/d")</f>
        <v>#N/A</v>
      </c>
      <c r="H73" s="302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5" customHeight="1">
      <c r="A74" s="237" t="s">
        <v>197</v>
      </c>
      <c r="B74" s="338"/>
      <c r="C74" s="338"/>
      <c r="D74" s="238"/>
      <c r="E74" s="305" t="e">
        <f>IF(E71&lt;&gt;"N/d",VLOOKUP(J252,KOBIZE!T7:X57,5),"N/d")</f>
        <v>#N/A</v>
      </c>
      <c r="F74" s="269"/>
      <c r="G74" s="305" t="e">
        <f>IF(G71&lt;&gt;"N/d",VLOOKUP(L252,KOBIZE!T7:X57,5),"N/d")</f>
        <v>#N/A</v>
      </c>
      <c r="H74" s="269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39" t="s">
        <v>109</v>
      </c>
      <c r="B76" s="340"/>
      <c r="C76" s="340"/>
      <c r="D76" s="341"/>
      <c r="E76" s="269" t="s">
        <v>110</v>
      </c>
      <c r="F76" s="269"/>
      <c r="G76" s="269" t="s">
        <v>111</v>
      </c>
      <c r="H76" s="269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5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>
      <c r="A77" s="342"/>
      <c r="B77" s="343"/>
      <c r="C77" s="343"/>
      <c r="D77" s="344"/>
      <c r="E77" s="53" t="s">
        <v>115</v>
      </c>
      <c r="F77" s="53" t="s">
        <v>112</v>
      </c>
      <c r="G77" s="53" t="s">
        <v>113</v>
      </c>
      <c r="H77" s="53" t="s">
        <v>114</v>
      </c>
      <c r="M77" s="81"/>
      <c r="O77" s="8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5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>
      <c r="A78" s="345">
        <v>1</v>
      </c>
      <c r="B78" s="346"/>
      <c r="C78" s="346"/>
      <c r="D78" s="347"/>
      <c r="E78" s="53">
        <v>2</v>
      </c>
      <c r="F78" s="53">
        <v>3</v>
      </c>
      <c r="G78" s="53">
        <v>4</v>
      </c>
      <c r="H78" s="53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280" t="s">
        <v>374</v>
      </c>
      <c r="B79" s="312"/>
      <c r="C79" s="312"/>
      <c r="D79" s="281"/>
      <c r="E79" s="83" t="e">
        <f>IF(E73&lt;&gt;"N/d",E73*E74,"N/d")</f>
        <v>#N/A</v>
      </c>
      <c r="F79" s="83" t="e">
        <f>IF(G73&lt;&gt;"N/d",G73*G74,"0")</f>
        <v>#N/A</v>
      </c>
      <c r="G79" s="84" t="e">
        <f>IF(E79&lt;&gt;"N/d",E79-F79,"N/d")</f>
        <v>#N/A</v>
      </c>
      <c r="H79" s="80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296" t="s">
        <v>388</v>
      </c>
      <c r="G84" s="296"/>
      <c r="H84" s="296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>
      <c r="A85" s="42"/>
      <c r="B85" s="85" t="str">
        <f ca="1">TEXT(TODAY(),"dd.mm.rrrr")</f>
        <v>18.02.2025</v>
      </c>
      <c r="C85" s="85"/>
      <c r="D85" s="85"/>
      <c r="E85" s="42"/>
      <c r="F85" s="294" t="s">
        <v>328</v>
      </c>
      <c r="G85" s="294"/>
      <c r="H85" s="294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6" t="s">
        <v>179</v>
      </c>
      <c r="C86" s="86"/>
      <c r="D86" s="86"/>
      <c r="F86" s="295"/>
      <c r="G86" s="295"/>
      <c r="H86" s="295"/>
      <c r="K86" s="65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292" t="s">
        <v>418</v>
      </c>
      <c r="B87" s="306"/>
      <c r="C87" s="306"/>
      <c r="D87" s="306"/>
      <c r="E87" s="306"/>
      <c r="F87" s="306"/>
      <c r="G87" s="306"/>
      <c r="H87" s="306"/>
      <c r="O87" s="88"/>
    </row>
    <row r="91" spans="1:53">
      <c r="K91" s="65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idden="1">
      <c r="A114" s="266"/>
      <c r="B114" s="266"/>
      <c r="C114" s="36"/>
      <c r="D114" s="36"/>
      <c r="E114" s="89"/>
    </row>
    <row r="115" spans="1:8" hidden="1">
      <c r="A115" s="267"/>
      <c r="B115" s="267"/>
      <c r="C115" s="86"/>
      <c r="D115" s="86"/>
      <c r="E115" s="87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68" t="s">
        <v>48</v>
      </c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</row>
    <row r="130" spans="2:57" hidden="1"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</row>
    <row r="131" spans="2:57" ht="17.399999999999999" hidden="1">
      <c r="B131" s="268" t="s">
        <v>174</v>
      </c>
      <c r="C131" s="268"/>
      <c r="D131" s="268"/>
      <c r="E131" s="268"/>
      <c r="F131" s="268"/>
      <c r="G131" s="90"/>
      <c r="H131" s="90"/>
      <c r="I131" s="90"/>
      <c r="J131" s="90"/>
      <c r="K131" s="90"/>
      <c r="L131" s="90"/>
    </row>
    <row r="132" spans="2:57" hidden="1"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T132" s="37" t="s">
        <v>299</v>
      </c>
      <c r="W132" s="70" t="s">
        <v>29</v>
      </c>
    </row>
    <row r="133" spans="2:57" ht="17.399999999999999" hidden="1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T133" s="37" t="s">
        <v>183</v>
      </c>
      <c r="V133" s="37" t="s">
        <v>261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1" hidden="1">
      <c r="B134" s="265" t="s">
        <v>29</v>
      </c>
      <c r="C134" s="265"/>
      <c r="D134" s="265"/>
      <c r="E134" s="265"/>
      <c r="F134" s="265"/>
      <c r="G134" s="265"/>
      <c r="H134" s="91"/>
      <c r="I134" s="265" t="s">
        <v>30</v>
      </c>
      <c r="J134" s="265"/>
      <c r="K134" s="265"/>
      <c r="L134" s="265"/>
      <c r="T134" s="37" t="s">
        <v>184</v>
      </c>
      <c r="V134" s="37" t="s">
        <v>262</v>
      </c>
      <c r="W134" s="37" t="str">
        <f>IF(E40=T135,T147,"")</f>
        <v/>
      </c>
    </row>
    <row r="135" spans="2:57" ht="17.399999999999999" hidden="1">
      <c r="B135" s="90"/>
      <c r="C135" s="90"/>
      <c r="D135" s="90"/>
      <c r="E135" s="90"/>
      <c r="F135" s="90"/>
      <c r="G135" s="90"/>
      <c r="H135" s="91"/>
      <c r="I135" s="90"/>
      <c r="J135" s="90"/>
      <c r="K135" s="90"/>
      <c r="L135" s="90"/>
      <c r="T135" s="37" t="s">
        <v>186</v>
      </c>
    </row>
    <row r="136" spans="2:57" ht="17.399999999999999" hidden="1">
      <c r="B136" s="90"/>
      <c r="C136" s="90"/>
      <c r="D136" s="90"/>
      <c r="E136" s="90"/>
      <c r="F136" s="90"/>
      <c r="G136" s="90"/>
      <c r="H136" s="91"/>
      <c r="I136" s="90"/>
      <c r="J136" s="90"/>
      <c r="K136" s="90"/>
      <c r="L136" s="90"/>
      <c r="T136" s="37" t="s">
        <v>185</v>
      </c>
      <c r="W136" s="70" t="s">
        <v>30</v>
      </c>
    </row>
    <row r="137" spans="2:57" ht="17.399999999999999" hidden="1">
      <c r="B137" s="261" t="s">
        <v>175</v>
      </c>
      <c r="C137" s="261"/>
      <c r="D137" s="261"/>
      <c r="E137" s="261"/>
      <c r="F137" s="261"/>
      <c r="G137" s="261"/>
      <c r="H137" s="91"/>
      <c r="I137" s="261" t="s">
        <v>175</v>
      </c>
      <c r="J137" s="261"/>
      <c r="K137" s="261"/>
      <c r="L137" s="261"/>
      <c r="T137" s="37" t="s">
        <v>187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7.399999999999999" hidden="1">
      <c r="B138" s="261"/>
      <c r="C138" s="261"/>
      <c r="D138" s="261"/>
      <c r="E138" s="261"/>
      <c r="F138" s="261"/>
      <c r="G138" s="261"/>
      <c r="H138" s="91"/>
      <c r="I138" s="262"/>
      <c r="J138" s="261"/>
      <c r="K138" s="261"/>
      <c r="L138" s="261"/>
      <c r="T138" s="37" t="s">
        <v>117</v>
      </c>
      <c r="W138" s="37" t="str">
        <f>IF(G40=T135,T147,"")</f>
        <v/>
      </c>
    </row>
    <row r="139" spans="2:57" ht="17.399999999999999" hidden="1">
      <c r="B139" s="90"/>
      <c r="C139" s="90"/>
      <c r="D139" s="90"/>
      <c r="E139" s="90"/>
      <c r="F139" s="90"/>
      <c r="G139" s="90"/>
      <c r="H139" s="91"/>
      <c r="I139" s="90"/>
      <c r="J139" s="90"/>
      <c r="K139" s="90"/>
      <c r="L139" s="90"/>
      <c r="T139" s="37" t="s">
        <v>275</v>
      </c>
    </row>
    <row r="140" spans="2:57" ht="17.399999999999999" hidden="1">
      <c r="B140" s="261" t="s">
        <v>180</v>
      </c>
      <c r="C140" s="261"/>
      <c r="D140" s="261"/>
      <c r="E140" s="261"/>
      <c r="F140" s="90"/>
      <c r="G140" s="90"/>
      <c r="H140" s="91"/>
      <c r="I140" s="261" t="s">
        <v>180</v>
      </c>
      <c r="J140" s="261"/>
      <c r="K140" s="90"/>
      <c r="L140" s="90"/>
    </row>
    <row r="141" spans="2:57" ht="26.4" hidden="1">
      <c r="B141" s="242"/>
      <c r="C141" s="242"/>
      <c r="D141" s="242"/>
      <c r="E141" s="242"/>
      <c r="F141" s="242"/>
      <c r="G141" s="263"/>
      <c r="H141" s="92"/>
      <c r="I141" s="264"/>
      <c r="J141" s="242"/>
      <c r="K141" s="242"/>
      <c r="L141" s="242"/>
      <c r="AP141" s="95"/>
      <c r="AQ141" s="96" t="s">
        <v>0</v>
      </c>
      <c r="AR141" s="97" t="s">
        <v>1</v>
      </c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2:57" ht="21" hidden="1">
      <c r="H142" s="92"/>
      <c r="O142" s="98" t="s">
        <v>29</v>
      </c>
      <c r="Q142" s="98" t="s">
        <v>30</v>
      </c>
      <c r="S142" s="93">
        <v>1</v>
      </c>
      <c r="T142" s="94" t="s">
        <v>117</v>
      </c>
      <c r="AO142" s="99"/>
      <c r="AP142" s="100" t="s">
        <v>359</v>
      </c>
      <c r="AQ142" s="100" t="s">
        <v>360</v>
      </c>
      <c r="AR142" s="101" t="s">
        <v>360</v>
      </c>
      <c r="AS142" s="100" t="s">
        <v>361</v>
      </c>
      <c r="AT142" s="100" t="s">
        <v>4</v>
      </c>
      <c r="AU142" s="100" t="s">
        <v>5</v>
      </c>
      <c r="AV142" s="102"/>
      <c r="AW142" s="102"/>
      <c r="AX142" s="102"/>
      <c r="AY142" s="102"/>
      <c r="AZ142" s="102"/>
      <c r="BA142" s="102"/>
    </row>
    <row r="143" spans="2:57" hidden="1">
      <c r="B143" s="258" t="s">
        <v>2</v>
      </c>
      <c r="C143" s="258"/>
      <c r="D143" s="258"/>
      <c r="E143" s="258"/>
      <c r="F143" s="258"/>
      <c r="G143" s="258"/>
      <c r="H143" s="92"/>
      <c r="I143" s="258" t="s">
        <v>2</v>
      </c>
      <c r="J143" s="258"/>
      <c r="K143" s="258"/>
      <c r="L143" s="258"/>
      <c r="S143" s="93">
        <v>2</v>
      </c>
      <c r="T143" s="94" t="s">
        <v>144</v>
      </c>
      <c r="V143" s="93">
        <v>1</v>
      </c>
      <c r="W143" s="94" t="s">
        <v>3</v>
      </c>
      <c r="AO143" s="99">
        <v>0</v>
      </c>
      <c r="AP143" s="99">
        <v>0</v>
      </c>
      <c r="AQ143" s="99">
        <v>0</v>
      </c>
      <c r="AR143" s="103">
        <v>0</v>
      </c>
      <c r="AS143" s="99">
        <v>0</v>
      </c>
      <c r="AT143" s="99">
        <v>0</v>
      </c>
      <c r="AU143" s="99">
        <v>0</v>
      </c>
    </row>
    <row r="144" spans="2:57" ht="14.4" hidden="1" thickBot="1">
      <c r="H144" s="92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3">
        <v>3</v>
      </c>
      <c r="T144" s="94" t="s">
        <v>15</v>
      </c>
      <c r="V144" s="93">
        <v>2</v>
      </c>
      <c r="W144" s="94" t="s">
        <v>6</v>
      </c>
      <c r="AM144" s="104" t="s">
        <v>152</v>
      </c>
      <c r="AN144" s="104"/>
      <c r="AO144" s="104">
        <v>100001</v>
      </c>
      <c r="AP144" s="105">
        <v>0</v>
      </c>
      <c r="AQ144" s="105">
        <v>0</v>
      </c>
      <c r="AR144" s="106">
        <v>0</v>
      </c>
      <c r="AS144" s="105">
        <v>0</v>
      </c>
      <c r="AT144" s="105">
        <v>0</v>
      </c>
      <c r="AU144" s="105">
        <v>0</v>
      </c>
      <c r="AV144" s="93"/>
      <c r="AX144" s="93"/>
      <c r="AY144" s="93"/>
      <c r="AZ144" s="93"/>
      <c r="BB144" s="94"/>
      <c r="BC144" s="107"/>
      <c r="BD144" s="107"/>
      <c r="BE144" s="94"/>
    </row>
    <row r="145" spans="2:57" hidden="1">
      <c r="B145" s="258"/>
      <c r="C145" s="258"/>
      <c r="D145" s="258"/>
      <c r="E145" s="258"/>
      <c r="F145" s="258"/>
      <c r="G145" s="258"/>
      <c r="H145" s="92"/>
      <c r="I145" s="258"/>
      <c r="J145" s="258"/>
      <c r="K145" s="258"/>
      <c r="L145" s="258"/>
      <c r="S145" s="93">
        <v>4</v>
      </c>
      <c r="T145" s="94" t="s">
        <v>145</v>
      </c>
      <c r="AM145" s="243" t="s">
        <v>13</v>
      </c>
      <c r="AN145" s="108">
        <v>1</v>
      </c>
      <c r="AO145" s="108">
        <v>201001</v>
      </c>
      <c r="AP145" s="109">
        <v>17</v>
      </c>
      <c r="AQ145" s="109">
        <v>4</v>
      </c>
      <c r="AR145" s="110"/>
      <c r="AS145" s="110"/>
      <c r="AT145" s="109">
        <v>5</v>
      </c>
      <c r="AU145" s="109">
        <v>3</v>
      </c>
      <c r="AV145" s="93"/>
      <c r="AX145" s="93"/>
      <c r="AY145" s="93"/>
      <c r="AZ145" s="93"/>
      <c r="BB145" s="94"/>
      <c r="BC145" s="107"/>
      <c r="BD145" s="107"/>
      <c r="BE145" s="94"/>
    </row>
    <row r="146" spans="2:57" hidden="1">
      <c r="B146" s="258" t="s">
        <v>9</v>
      </c>
      <c r="C146" s="258"/>
      <c r="D146" s="258"/>
      <c r="E146" s="258"/>
      <c r="F146" s="258"/>
      <c r="G146" s="258"/>
      <c r="H146" s="92"/>
      <c r="I146" s="258" t="s">
        <v>9</v>
      </c>
      <c r="J146" s="258"/>
      <c r="K146" s="258"/>
      <c r="L146" s="258"/>
      <c r="S146" s="93">
        <v>5</v>
      </c>
      <c r="T146" s="94" t="s">
        <v>149</v>
      </c>
      <c r="V146" s="93">
        <v>1</v>
      </c>
      <c r="W146" s="94" t="s">
        <v>10</v>
      </c>
      <c r="AM146" s="244"/>
      <c r="AN146" s="99">
        <v>2</v>
      </c>
      <c r="AO146" s="99">
        <v>201002</v>
      </c>
      <c r="AP146" s="111">
        <v>16</v>
      </c>
      <c r="AQ146" s="111">
        <v>4</v>
      </c>
      <c r="AR146" s="112"/>
      <c r="AS146" s="112"/>
      <c r="AT146" s="111">
        <v>10</v>
      </c>
      <c r="AU146" s="111">
        <v>2.5</v>
      </c>
      <c r="AV146" s="93"/>
      <c r="AX146" s="93"/>
      <c r="AY146" s="93"/>
      <c r="AZ146" s="93"/>
      <c r="BB146" s="94"/>
      <c r="BC146" s="107"/>
      <c r="BD146" s="107"/>
      <c r="BE146" s="94"/>
    </row>
    <row r="147" spans="2:57" hidden="1">
      <c r="H147" s="92"/>
      <c r="O147" s="37">
        <f>IF($E$44=$T$154,$S$154,IF($E$44=$T$155,$S$155,0))</f>
        <v>0</v>
      </c>
      <c r="Q147" s="37">
        <f>IF($G$44=$T$154,$S$154,IF($G$44=$T$155,$S$155,0))</f>
        <v>0</v>
      </c>
      <c r="S147" s="93">
        <v>6</v>
      </c>
      <c r="T147" s="94" t="s">
        <v>150</v>
      </c>
      <c r="V147" s="93">
        <v>2</v>
      </c>
      <c r="W147" s="94" t="s">
        <v>147</v>
      </c>
      <c r="AM147" s="244"/>
      <c r="AN147" s="99">
        <v>3</v>
      </c>
      <c r="AO147" s="99">
        <v>201003</v>
      </c>
      <c r="AP147" s="111">
        <v>16</v>
      </c>
      <c r="AQ147" s="111">
        <v>4</v>
      </c>
      <c r="AR147" s="112"/>
      <c r="AS147" s="112"/>
      <c r="AT147" s="111">
        <v>20</v>
      </c>
      <c r="AU147" s="111">
        <v>2</v>
      </c>
      <c r="AV147" s="93"/>
      <c r="AX147" s="93"/>
      <c r="AY147" s="93"/>
      <c r="AZ147" s="93"/>
      <c r="BB147" s="94"/>
      <c r="BC147" s="107"/>
      <c r="BD147" s="107"/>
      <c r="BE147" s="94"/>
    </row>
    <row r="148" spans="2:57" hidden="1">
      <c r="B148" s="258"/>
      <c r="C148" s="258"/>
      <c r="D148" s="258"/>
      <c r="E148" s="258"/>
      <c r="F148" s="258"/>
      <c r="G148" s="258"/>
      <c r="H148" s="92"/>
      <c r="I148" s="258"/>
      <c r="J148" s="258"/>
      <c r="K148" s="258"/>
      <c r="L148" s="258"/>
      <c r="S148" s="93">
        <v>7</v>
      </c>
      <c r="T148" s="94" t="s">
        <v>146</v>
      </c>
      <c r="AM148" s="244"/>
      <c r="AN148" s="99">
        <v>4</v>
      </c>
      <c r="AO148" s="99">
        <v>202111</v>
      </c>
      <c r="AP148" s="111">
        <v>16</v>
      </c>
      <c r="AQ148" s="111">
        <v>1</v>
      </c>
      <c r="AR148" s="112"/>
      <c r="AS148" s="112"/>
      <c r="AT148" s="111">
        <v>45</v>
      </c>
      <c r="AU148" s="111">
        <v>1.5</v>
      </c>
      <c r="AV148" s="93"/>
      <c r="AX148" s="93"/>
      <c r="AY148" s="93"/>
      <c r="AZ148" s="93"/>
      <c r="BB148" s="94"/>
      <c r="BC148" s="107"/>
      <c r="BD148" s="107"/>
      <c r="BE148" s="94"/>
    </row>
    <row r="149" spans="2:57" hidden="1">
      <c r="B149" s="258" t="s">
        <v>25</v>
      </c>
      <c r="C149" s="258"/>
      <c r="D149" s="258"/>
      <c r="E149" s="258"/>
      <c r="F149" s="258"/>
      <c r="G149" s="258"/>
      <c r="H149" s="92"/>
      <c r="I149" s="258" t="s">
        <v>25</v>
      </c>
      <c r="J149" s="258"/>
      <c r="K149" s="258"/>
      <c r="L149" s="258"/>
      <c r="S149" s="93">
        <v>8</v>
      </c>
      <c r="T149" s="94" t="s">
        <v>275</v>
      </c>
      <c r="V149" s="93">
        <v>1</v>
      </c>
      <c r="W149" s="94" t="s">
        <v>14</v>
      </c>
      <c r="AM149" s="244"/>
      <c r="AN149" s="99">
        <v>5</v>
      </c>
      <c r="AO149" s="99">
        <v>202112</v>
      </c>
      <c r="AP149" s="111">
        <v>16</v>
      </c>
      <c r="AQ149" s="111">
        <v>1</v>
      </c>
      <c r="AR149" s="112"/>
      <c r="AS149" s="112"/>
      <c r="AT149" s="111">
        <v>45</v>
      </c>
      <c r="AU149" s="111">
        <v>1.5</v>
      </c>
      <c r="AV149" s="93"/>
      <c r="AX149" s="93"/>
      <c r="AY149" s="93"/>
      <c r="AZ149" s="93"/>
      <c r="BB149" s="94"/>
      <c r="BC149" s="107"/>
      <c r="BD149" s="107"/>
      <c r="BE149" s="94"/>
    </row>
    <row r="150" spans="2:57" hidden="1">
      <c r="H150" s="92"/>
      <c r="O150" s="37">
        <f>IF($E$43=$W$143,$V$143,IF($E$43=$W$144,$V$144,0))</f>
        <v>0</v>
      </c>
      <c r="Q150" s="37">
        <f>IF($G$43=$W$143,$V$143,IF($G$43=$W$144,$V$144,0))</f>
        <v>0</v>
      </c>
      <c r="S150" s="93">
        <v>9</v>
      </c>
      <c r="T150" s="94" t="s">
        <v>299</v>
      </c>
      <c r="V150" s="93">
        <v>2</v>
      </c>
      <c r="W150" s="94" t="s">
        <v>16</v>
      </c>
      <c r="AM150" s="244"/>
      <c r="AN150" s="99">
        <v>6</v>
      </c>
      <c r="AO150" s="99">
        <v>202121</v>
      </c>
      <c r="AP150" s="111">
        <v>16</v>
      </c>
      <c r="AQ150" s="111">
        <v>1.5</v>
      </c>
      <c r="AR150" s="112"/>
      <c r="AS150" s="112"/>
      <c r="AT150" s="111">
        <v>45</v>
      </c>
      <c r="AU150" s="111">
        <v>2</v>
      </c>
      <c r="AV150" s="93"/>
      <c r="AX150" s="93"/>
      <c r="AY150" s="93"/>
      <c r="AZ150" s="93"/>
      <c r="BB150" s="94"/>
      <c r="BC150" s="107"/>
      <c r="BD150" s="107"/>
      <c r="BE150" s="94"/>
    </row>
    <row r="151" spans="2:57" hidden="1">
      <c r="B151" s="258"/>
      <c r="C151" s="258"/>
      <c r="D151" s="258"/>
      <c r="E151" s="258"/>
      <c r="F151" s="258"/>
      <c r="G151" s="258"/>
      <c r="H151" s="92"/>
      <c r="I151" s="258"/>
      <c r="J151" s="258"/>
      <c r="K151" s="258"/>
      <c r="L151" s="258"/>
      <c r="O151" s="37">
        <f>O144*1000+O147*100+O150*10</f>
        <v>0</v>
      </c>
      <c r="Q151" s="37">
        <f>Q144*1000+Q147*100+Q150*10</f>
        <v>0</v>
      </c>
      <c r="S151" s="93"/>
      <c r="T151" s="94"/>
      <c r="AM151" s="244"/>
      <c r="AN151" s="99">
        <v>7</v>
      </c>
      <c r="AO151" s="99">
        <v>202122</v>
      </c>
      <c r="AP151" s="111">
        <v>16</v>
      </c>
      <c r="AQ151" s="111">
        <v>1.5</v>
      </c>
      <c r="AR151" s="112"/>
      <c r="AS151" s="112"/>
      <c r="AT151" s="111">
        <v>45</v>
      </c>
      <c r="AU151" s="111">
        <v>2</v>
      </c>
      <c r="AV151" s="93"/>
      <c r="AX151" s="93"/>
      <c r="AY151" s="93"/>
      <c r="AZ151" s="93"/>
      <c r="BB151" s="94"/>
      <c r="BC151" s="107"/>
      <c r="BD151" s="107"/>
      <c r="BE151" s="94"/>
    </row>
    <row r="152" spans="2:57" hidden="1">
      <c r="B152" s="258" t="s">
        <v>26</v>
      </c>
      <c r="C152" s="258"/>
      <c r="D152" s="258"/>
      <c r="E152" s="258"/>
      <c r="F152" s="258"/>
      <c r="G152" s="258"/>
      <c r="H152" s="92"/>
      <c r="I152" s="258" t="s">
        <v>26</v>
      </c>
      <c r="J152" s="258"/>
      <c r="K152" s="258"/>
      <c r="L152" s="258"/>
      <c r="S152" s="93"/>
      <c r="V152" s="93">
        <v>1</v>
      </c>
      <c r="W152" s="94" t="s">
        <v>17</v>
      </c>
      <c r="AM152" s="244"/>
      <c r="AN152" s="99">
        <v>8</v>
      </c>
      <c r="AO152" s="99">
        <v>202211</v>
      </c>
      <c r="AP152" s="111">
        <v>16</v>
      </c>
      <c r="AQ152" s="111">
        <v>1</v>
      </c>
      <c r="AR152" s="112"/>
      <c r="AS152" s="112"/>
      <c r="AT152" s="111">
        <v>100</v>
      </c>
      <c r="AU152" s="111">
        <v>1.5</v>
      </c>
      <c r="AV152" s="93"/>
      <c r="AX152" s="93"/>
      <c r="AY152" s="93"/>
      <c r="AZ152" s="93"/>
      <c r="BB152" s="94"/>
      <c r="BC152" s="107"/>
      <c r="BD152" s="107"/>
      <c r="BE152" s="94"/>
    </row>
    <row r="153" spans="2:57" ht="14.4" hidden="1" thickBot="1">
      <c r="H153" s="92"/>
      <c r="O153" s="37">
        <f>IF($E$45=$W$146,$V$146,IF($E$45=$W$147,$V$147,0))</f>
        <v>0</v>
      </c>
      <c r="Q153" s="37">
        <f>IF($G$45=$W$146,$V$146,IF($G$45=$W$147,$V$147,0))</f>
        <v>0</v>
      </c>
      <c r="S153" s="93"/>
      <c r="V153" s="93">
        <v>2</v>
      </c>
      <c r="W153" s="94" t="s">
        <v>18</v>
      </c>
      <c r="AM153" s="245"/>
      <c r="AN153" s="104">
        <v>9</v>
      </c>
      <c r="AO153" s="104">
        <v>202221</v>
      </c>
      <c r="AP153" s="105">
        <v>16</v>
      </c>
      <c r="AQ153" s="105">
        <v>1.5</v>
      </c>
      <c r="AR153" s="106"/>
      <c r="AS153" s="106"/>
      <c r="AT153" s="105">
        <v>100</v>
      </c>
      <c r="AU153" s="105">
        <v>2</v>
      </c>
      <c r="AV153" s="93"/>
      <c r="AX153" s="93"/>
      <c r="AY153" s="93"/>
      <c r="AZ153" s="93"/>
      <c r="BB153" s="94"/>
      <c r="BC153" s="107"/>
      <c r="BD153" s="107"/>
      <c r="BE153" s="94"/>
    </row>
    <row r="154" spans="2:57" hidden="1">
      <c r="B154" s="258"/>
      <c r="C154" s="258"/>
      <c r="D154" s="258"/>
      <c r="E154" s="258"/>
      <c r="F154" s="258"/>
      <c r="G154" s="258"/>
      <c r="H154" s="92"/>
      <c r="I154" s="258"/>
      <c r="J154" s="258"/>
      <c r="K154" s="258"/>
      <c r="L154" s="258"/>
      <c r="S154" s="93">
        <v>1</v>
      </c>
      <c r="T154" s="94" t="s">
        <v>116</v>
      </c>
      <c r="V154" s="93">
        <v>0</v>
      </c>
      <c r="W154" s="94" t="s">
        <v>19</v>
      </c>
      <c r="AM154" s="243" t="s">
        <v>15</v>
      </c>
      <c r="AN154" s="108">
        <v>1</v>
      </c>
      <c r="AO154" s="108">
        <v>301001</v>
      </c>
      <c r="AP154" s="109" t="s">
        <v>159</v>
      </c>
      <c r="AQ154" s="109" t="s">
        <v>159</v>
      </c>
      <c r="AR154" s="110"/>
      <c r="AS154" s="110"/>
      <c r="AT154" s="109" t="s">
        <v>159</v>
      </c>
      <c r="AU154" s="109" t="s">
        <v>159</v>
      </c>
      <c r="AV154" s="93"/>
      <c r="AX154" s="93"/>
      <c r="AY154" s="93"/>
      <c r="AZ154" s="93"/>
      <c r="BB154" s="94"/>
      <c r="BC154" s="107"/>
      <c r="BD154" s="107"/>
      <c r="BE154" s="94"/>
    </row>
    <row r="155" spans="2:57" hidden="1">
      <c r="B155" s="258" t="s">
        <v>27</v>
      </c>
      <c r="C155" s="258"/>
      <c r="D155" s="258"/>
      <c r="E155" s="258"/>
      <c r="F155" s="258"/>
      <c r="G155" s="258"/>
      <c r="H155" s="92"/>
      <c r="I155" s="258" t="s">
        <v>27</v>
      </c>
      <c r="J155" s="258"/>
      <c r="K155" s="258"/>
      <c r="L155" s="258"/>
      <c r="S155" s="93">
        <v>2</v>
      </c>
      <c r="T155" s="94" t="s">
        <v>20</v>
      </c>
      <c r="AM155" s="244"/>
      <c r="AN155" s="99">
        <v>2</v>
      </c>
      <c r="AO155" s="99">
        <v>301002</v>
      </c>
      <c r="AP155" s="111" t="s">
        <v>159</v>
      </c>
      <c r="AQ155" s="111" t="s">
        <v>159</v>
      </c>
      <c r="AR155" s="112"/>
      <c r="AS155" s="112"/>
      <c r="AT155" s="111" t="s">
        <v>159</v>
      </c>
      <c r="AU155" s="111" t="s">
        <v>159</v>
      </c>
      <c r="AV155" s="93"/>
      <c r="AX155" s="93"/>
      <c r="AY155" s="93"/>
      <c r="AZ155" s="93"/>
      <c r="BB155" s="94"/>
      <c r="BC155" s="107"/>
      <c r="BD155" s="107"/>
      <c r="BE155" s="94"/>
    </row>
    <row r="156" spans="2:57" hidden="1">
      <c r="H156" s="92"/>
      <c r="O156" s="37">
        <f>IF($E$46=$W$149,$V$149,IF($E$46=$W$150,$V$150,0))</f>
        <v>0</v>
      </c>
      <c r="Q156" s="37">
        <f>IF($G$46=$W$149,$V$149,IF($G$46=$W$150,$V$150,0))</f>
        <v>0</v>
      </c>
      <c r="V156" s="93">
        <v>1</v>
      </c>
      <c r="W156" s="94" t="s">
        <v>21</v>
      </c>
      <c r="AM156" s="244"/>
      <c r="AN156" s="99">
        <v>3</v>
      </c>
      <c r="AO156" s="99">
        <v>301003</v>
      </c>
      <c r="AP156" s="111" t="s">
        <v>159</v>
      </c>
      <c r="AQ156" s="111" t="s">
        <v>159</v>
      </c>
      <c r="AR156" s="103"/>
      <c r="AS156" s="112"/>
      <c r="AT156" s="111" t="s">
        <v>159</v>
      </c>
      <c r="AU156" s="111" t="s">
        <v>159</v>
      </c>
      <c r="AV156" s="93"/>
      <c r="AW156" s="93"/>
      <c r="AX156" s="93"/>
      <c r="AY156" s="93"/>
      <c r="AZ156" s="93"/>
      <c r="BB156" s="94"/>
      <c r="BC156" s="107"/>
      <c r="BD156" s="107"/>
      <c r="BE156" s="94"/>
    </row>
    <row r="157" spans="2:57" hidden="1">
      <c r="B157" s="258"/>
      <c r="C157" s="258"/>
      <c r="D157" s="258"/>
      <c r="E157" s="258"/>
      <c r="F157" s="258"/>
      <c r="G157" s="258"/>
      <c r="H157" s="92"/>
      <c r="I157" s="258"/>
      <c r="J157" s="258"/>
      <c r="K157" s="258"/>
      <c r="L157" s="258"/>
      <c r="O157" s="37">
        <f>O144*10000+O147*1000+O150*100+O153*10+O156</f>
        <v>0</v>
      </c>
      <c r="Q157" s="37">
        <f>Q144*10000+Q147*1000+Q150*100+Q153*10+Q156</f>
        <v>0</v>
      </c>
      <c r="V157" s="93">
        <v>2</v>
      </c>
      <c r="W157" s="94" t="s">
        <v>22</v>
      </c>
      <c r="AM157" s="244"/>
      <c r="AN157" s="99">
        <v>4</v>
      </c>
      <c r="AO157" s="99">
        <v>302111</v>
      </c>
      <c r="AP157" s="111">
        <v>16</v>
      </c>
      <c r="AQ157" s="111">
        <v>1.5</v>
      </c>
      <c r="AR157" s="112"/>
      <c r="AS157" s="112"/>
      <c r="AT157" s="111">
        <v>25</v>
      </c>
      <c r="AU157" s="111">
        <v>1.5</v>
      </c>
      <c r="AV157" s="93"/>
      <c r="AX157" s="93"/>
      <c r="AY157" s="93"/>
      <c r="AZ157" s="93"/>
      <c r="BB157" s="94"/>
      <c r="BC157" s="107"/>
      <c r="BD157" s="107"/>
      <c r="BE157" s="94"/>
    </row>
    <row r="158" spans="2:57" hidden="1">
      <c r="B158" s="258" t="s">
        <v>28</v>
      </c>
      <c r="C158" s="258"/>
      <c r="D158" s="258"/>
      <c r="E158" s="258"/>
      <c r="F158" s="258"/>
      <c r="G158" s="258"/>
      <c r="H158" s="92"/>
      <c r="I158" s="258" t="s">
        <v>28</v>
      </c>
      <c r="J158" s="258"/>
      <c r="K158" s="258"/>
      <c r="L158" s="258"/>
      <c r="S158" s="93">
        <v>1</v>
      </c>
      <c r="T158" s="94" t="s">
        <v>7</v>
      </c>
      <c r="V158" s="93">
        <v>3</v>
      </c>
      <c r="W158" s="94" t="s">
        <v>23</v>
      </c>
      <c r="AM158" s="244"/>
      <c r="AN158" s="99">
        <v>5</v>
      </c>
      <c r="AO158" s="99">
        <v>302112</v>
      </c>
      <c r="AP158" s="111">
        <v>16</v>
      </c>
      <c r="AQ158" s="111">
        <v>1.5</v>
      </c>
      <c r="AR158" s="112"/>
      <c r="AS158" s="112"/>
      <c r="AT158" s="111">
        <v>25</v>
      </c>
      <c r="AU158" s="111">
        <v>1.5</v>
      </c>
      <c r="AV158" s="93"/>
      <c r="AX158" s="93"/>
      <c r="AY158" s="93"/>
      <c r="AZ158" s="93"/>
      <c r="BB158" s="94"/>
      <c r="BC158" s="107"/>
      <c r="BD158" s="107"/>
      <c r="BE158" s="94"/>
    </row>
    <row r="159" spans="2:57" hidden="1">
      <c r="H159" s="92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3">
        <v>2</v>
      </c>
      <c r="T159" s="94" t="s">
        <v>8</v>
      </c>
      <c r="AM159" s="244"/>
      <c r="AN159" s="99">
        <v>6</v>
      </c>
      <c r="AO159" s="99">
        <v>302121</v>
      </c>
      <c r="AP159" s="111">
        <v>16</v>
      </c>
      <c r="AQ159" s="111">
        <v>2</v>
      </c>
      <c r="AR159" s="112"/>
      <c r="AS159" s="112"/>
      <c r="AT159" s="111">
        <v>25</v>
      </c>
      <c r="AU159" s="111">
        <v>2</v>
      </c>
      <c r="AV159" s="93"/>
      <c r="AX159" s="93"/>
      <c r="AY159" s="93"/>
      <c r="AZ159" s="93"/>
      <c r="BB159" s="94"/>
      <c r="BC159" s="107"/>
      <c r="BD159" s="107"/>
      <c r="BE159" s="94"/>
    </row>
    <row r="160" spans="2:57" hidden="1">
      <c r="H160" s="92"/>
      <c r="S160" s="93">
        <v>3</v>
      </c>
      <c r="T160" s="94" t="s">
        <v>24</v>
      </c>
      <c r="V160" s="93"/>
      <c r="W160" s="94"/>
      <c r="AM160" s="244"/>
      <c r="AN160" s="99">
        <v>7</v>
      </c>
      <c r="AO160" s="99">
        <v>302122</v>
      </c>
      <c r="AP160" s="111">
        <v>16</v>
      </c>
      <c r="AQ160" s="111">
        <v>2</v>
      </c>
      <c r="AR160" s="112"/>
      <c r="AS160" s="112"/>
      <c r="AT160" s="111">
        <v>25</v>
      </c>
      <c r="AU160" s="111">
        <v>2</v>
      </c>
      <c r="AV160" s="93"/>
      <c r="AW160" s="93"/>
      <c r="AX160" s="93"/>
      <c r="AY160" s="93"/>
      <c r="AZ160" s="93"/>
      <c r="BB160" s="94"/>
      <c r="BC160" s="107"/>
      <c r="BD160" s="107"/>
      <c r="BE160" s="94"/>
    </row>
    <row r="161" spans="2:57" hidden="1">
      <c r="B161" s="258" t="s">
        <v>31</v>
      </c>
      <c r="C161" s="258"/>
      <c r="D161" s="258"/>
      <c r="E161" s="258"/>
      <c r="F161" s="258"/>
      <c r="G161" s="258"/>
      <c r="H161" s="92"/>
      <c r="I161" s="258" t="s">
        <v>43</v>
      </c>
      <c r="J161" s="258"/>
      <c r="K161" s="258"/>
      <c r="L161" s="258"/>
      <c r="O161" s="37">
        <f>O159+O156*10+O153*100+O150*1000+O147*10000+O144*100000</f>
        <v>4</v>
      </c>
      <c r="Q161" s="37">
        <f>Q159+Q156*10+Q153*100+Q150*1000+Q147*10000+Q144*100000</f>
        <v>4</v>
      </c>
      <c r="S161" s="93">
        <v>4</v>
      </c>
      <c r="T161" s="94" t="s">
        <v>204</v>
      </c>
      <c r="V161" s="93"/>
      <c r="W161" s="94"/>
      <c r="AM161" s="244"/>
      <c r="AN161" s="99">
        <v>8</v>
      </c>
      <c r="AO161" s="99">
        <v>302211</v>
      </c>
      <c r="AP161" s="111">
        <v>16</v>
      </c>
      <c r="AQ161" s="111">
        <v>1.5</v>
      </c>
      <c r="AR161" s="112"/>
      <c r="AS161" s="112"/>
      <c r="AT161" s="111">
        <v>25</v>
      </c>
      <c r="AU161" s="111">
        <v>1.5</v>
      </c>
      <c r="AV161" s="93"/>
      <c r="AW161" s="93"/>
      <c r="AX161" s="93"/>
      <c r="AY161" s="93"/>
      <c r="AZ161" s="93"/>
      <c r="BB161" s="94"/>
      <c r="BC161" s="107"/>
      <c r="BD161" s="107"/>
      <c r="BE161" s="94"/>
    </row>
    <row r="162" spans="2:57" ht="14.4" hidden="1" thickBot="1">
      <c r="B162" s="113" t="s">
        <v>32</v>
      </c>
      <c r="C162" s="113"/>
      <c r="D162" s="113"/>
      <c r="E162" s="260"/>
      <c r="F162" s="260"/>
      <c r="H162" s="92"/>
      <c r="I162" s="113" t="s">
        <v>32</v>
      </c>
      <c r="J162" s="260"/>
      <c r="K162" s="260"/>
      <c r="T162" s="94" t="s">
        <v>11</v>
      </c>
      <c r="AM162" s="245"/>
      <c r="AN162" s="104">
        <v>9</v>
      </c>
      <c r="AO162" s="104">
        <v>302221</v>
      </c>
      <c r="AP162" s="105">
        <v>16</v>
      </c>
      <c r="AQ162" s="105">
        <v>2</v>
      </c>
      <c r="AR162" s="106"/>
      <c r="AS162" s="106"/>
      <c r="AT162" s="105">
        <v>25</v>
      </c>
      <c r="AU162" s="105">
        <v>2</v>
      </c>
      <c r="AV162" s="93"/>
      <c r="AW162" s="93"/>
      <c r="AX162" s="93"/>
      <c r="AY162" s="93"/>
      <c r="AZ162" s="93"/>
      <c r="BB162" s="94"/>
      <c r="BC162" s="107"/>
      <c r="BD162" s="107"/>
      <c r="BE162" s="94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2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4" t="s">
        <v>12</v>
      </c>
      <c r="AM163" s="243" t="s">
        <v>153</v>
      </c>
      <c r="AN163" s="108">
        <v>1</v>
      </c>
      <c r="AO163" s="108">
        <v>400001</v>
      </c>
      <c r="AP163" s="109">
        <v>19</v>
      </c>
      <c r="AQ163" s="109">
        <v>6.5</v>
      </c>
      <c r="AR163" s="110"/>
      <c r="AS163" s="110"/>
      <c r="AT163" s="109">
        <v>0.5</v>
      </c>
      <c r="AU163" s="109">
        <v>1</v>
      </c>
      <c r="AV163" s="93"/>
      <c r="AW163" s="93"/>
      <c r="AX163" s="93"/>
      <c r="AY163" s="93"/>
      <c r="AZ163" s="93"/>
      <c r="BB163" s="94"/>
      <c r="BC163" s="107"/>
      <c r="BD163" s="107"/>
      <c r="BE163" s="94"/>
    </row>
    <row r="164" spans="2:57" hidden="1">
      <c r="B164" s="258" t="s">
        <v>143</v>
      </c>
      <c r="C164" s="258"/>
      <c r="D164" s="258"/>
      <c r="E164" s="258"/>
      <c r="F164" s="258"/>
      <c r="G164" s="258"/>
      <c r="H164" s="92"/>
      <c r="I164" s="258" t="s">
        <v>143</v>
      </c>
      <c r="J164" s="258"/>
      <c r="K164" s="258"/>
      <c r="L164" s="258"/>
      <c r="S164" s="93">
        <v>1</v>
      </c>
      <c r="T164" s="94" t="s">
        <v>151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44"/>
      <c r="AN164" s="99">
        <v>2</v>
      </c>
      <c r="AO164" s="99">
        <v>400002</v>
      </c>
      <c r="AP164" s="111">
        <v>19</v>
      </c>
      <c r="AQ164" s="111">
        <v>5</v>
      </c>
      <c r="AR164" s="112"/>
      <c r="AS164" s="112"/>
      <c r="AT164" s="111">
        <v>0.5</v>
      </c>
      <c r="AU164" s="111">
        <v>2.75</v>
      </c>
      <c r="AV164" s="93"/>
      <c r="AW164" s="93"/>
      <c r="AX164" s="93"/>
      <c r="AY164" s="93"/>
      <c r="AZ164" s="93"/>
      <c r="BB164" s="94"/>
      <c r="BC164" s="107"/>
      <c r="BD164" s="107"/>
      <c r="BE164" s="94"/>
    </row>
    <row r="165" spans="2:57" hidden="1">
      <c r="B165" s="113" t="s">
        <v>33</v>
      </c>
      <c r="C165" s="113"/>
      <c r="D165" s="113"/>
      <c r="E165" s="260"/>
      <c r="F165" s="260"/>
      <c r="G165" s="114" t="s">
        <v>34</v>
      </c>
      <c r="H165" s="92"/>
      <c r="I165" s="113" t="s">
        <v>33</v>
      </c>
      <c r="J165" s="260"/>
      <c r="K165" s="260"/>
      <c r="L165" s="114" t="s">
        <v>34</v>
      </c>
      <c r="S165" s="93">
        <v>2</v>
      </c>
      <c r="T165" s="94" t="s">
        <v>148</v>
      </c>
      <c r="W165" s="37" t="str">
        <f>IF($O$151&lt;2020,$T$168,IF($O$151&lt;3010,$W$149:$W$150,IF($O$151=3010,$T$168,IF($O$151=3020,$W$149:$W$150,$T$168))))</f>
        <v>NIE DOTYCZY</v>
      </c>
      <c r="AM165" s="244"/>
      <c r="AN165" s="99">
        <v>3</v>
      </c>
      <c r="AO165" s="99">
        <v>400003</v>
      </c>
      <c r="AP165" s="111">
        <v>19</v>
      </c>
      <c r="AQ165" s="111">
        <v>5</v>
      </c>
      <c r="AR165" s="112"/>
      <c r="AS165" s="112"/>
      <c r="AT165" s="111">
        <v>0.6</v>
      </c>
      <c r="AU165" s="111">
        <v>1.8</v>
      </c>
      <c r="AV165" s="93"/>
      <c r="AW165" s="93"/>
      <c r="AX165" s="93"/>
      <c r="AY165" s="93"/>
      <c r="AZ165" s="93"/>
      <c r="BB165" s="94"/>
      <c r="BC165" s="107"/>
      <c r="BD165" s="107"/>
      <c r="BE165" s="94"/>
    </row>
    <row r="166" spans="2:57" ht="14.4" hidden="1" thickBot="1">
      <c r="H166" s="92"/>
      <c r="S166" s="93">
        <v>3</v>
      </c>
      <c r="T166" s="94" t="s">
        <v>263</v>
      </c>
      <c r="AM166" s="245"/>
      <c r="AN166" s="104">
        <v>4</v>
      </c>
      <c r="AO166" s="104">
        <v>400004</v>
      </c>
      <c r="AP166" s="105">
        <v>19</v>
      </c>
      <c r="AQ166" s="105">
        <v>5</v>
      </c>
      <c r="AR166" s="106"/>
      <c r="AS166" s="106"/>
      <c r="AT166" s="105">
        <v>0.4</v>
      </c>
      <c r="AU166" s="105">
        <v>1</v>
      </c>
      <c r="AV166" s="93"/>
      <c r="AW166" s="93"/>
      <c r="AX166" s="93"/>
      <c r="AY166" s="93"/>
      <c r="AZ166" s="93"/>
      <c r="BB166" s="94"/>
      <c r="BC166" s="107"/>
      <c r="BD166" s="107"/>
      <c r="BE166" s="94"/>
    </row>
    <row r="167" spans="2:57" hidden="1">
      <c r="B167" s="258" t="s">
        <v>35</v>
      </c>
      <c r="C167" s="258"/>
      <c r="D167" s="258"/>
      <c r="E167" s="258"/>
      <c r="F167" s="258"/>
      <c r="G167" s="258"/>
      <c r="H167" s="92"/>
      <c r="I167" s="258" t="s">
        <v>35</v>
      </c>
      <c r="J167" s="258"/>
      <c r="K167" s="258"/>
      <c r="L167" s="258"/>
      <c r="AL167" s="259" t="s">
        <v>156</v>
      </c>
      <c r="AM167" s="244" t="s">
        <v>154</v>
      </c>
      <c r="AN167" s="115">
        <v>1</v>
      </c>
      <c r="AO167" s="115">
        <v>510001</v>
      </c>
      <c r="AP167" s="116">
        <v>2</v>
      </c>
      <c r="AQ167" s="116">
        <v>4800</v>
      </c>
      <c r="AR167" s="117"/>
      <c r="AS167" s="117"/>
      <c r="AT167" s="116">
        <v>270</v>
      </c>
      <c r="AU167" s="116">
        <v>12</v>
      </c>
      <c r="AV167" s="93"/>
      <c r="AW167" s="93"/>
      <c r="AX167" s="93"/>
      <c r="AY167" s="93"/>
      <c r="AZ167" s="93"/>
      <c r="BB167" s="94"/>
      <c r="BC167" s="107"/>
      <c r="BD167" s="107"/>
      <c r="BE167" s="94"/>
    </row>
    <row r="168" spans="2:57" hidden="1">
      <c r="B168" s="113" t="s">
        <v>36</v>
      </c>
      <c r="C168" s="113"/>
      <c r="D168" s="113"/>
      <c r="E168" s="260"/>
      <c r="F168" s="260"/>
      <c r="G168" s="114" t="s">
        <v>34</v>
      </c>
      <c r="H168" s="92"/>
      <c r="I168" s="113" t="s">
        <v>36</v>
      </c>
      <c r="J168" s="260"/>
      <c r="K168" s="260"/>
      <c r="L168" s="114" t="s">
        <v>34</v>
      </c>
      <c r="T168" s="94" t="s">
        <v>172</v>
      </c>
      <c r="AL168" s="253"/>
      <c r="AM168" s="244"/>
      <c r="AN168" s="99">
        <v>2</v>
      </c>
      <c r="AO168" s="99">
        <v>510002</v>
      </c>
      <c r="AP168" s="111">
        <v>2</v>
      </c>
      <c r="AQ168" s="111">
        <v>3700</v>
      </c>
      <c r="AR168" s="112"/>
      <c r="AS168" s="112"/>
      <c r="AT168" s="111">
        <v>270</v>
      </c>
      <c r="AU168" s="111">
        <v>14.5</v>
      </c>
      <c r="AV168" s="93"/>
      <c r="AW168" s="93"/>
      <c r="AX168" s="93"/>
      <c r="AY168" s="93"/>
      <c r="AZ168" s="93"/>
      <c r="BB168" s="94"/>
      <c r="BC168" s="107"/>
      <c r="BD168" s="107"/>
      <c r="BE168" s="94"/>
    </row>
    <row r="169" spans="2:57" hidden="1">
      <c r="H169" s="92"/>
      <c r="S169" s="37" t="s">
        <v>44</v>
      </c>
      <c r="AL169" s="253"/>
      <c r="AM169" s="244"/>
      <c r="AN169" s="99">
        <v>3</v>
      </c>
      <c r="AO169" s="99">
        <v>510003</v>
      </c>
      <c r="AP169" s="111">
        <v>2</v>
      </c>
      <c r="AQ169" s="111">
        <v>1920</v>
      </c>
      <c r="AR169" s="112"/>
      <c r="AS169" s="112"/>
      <c r="AT169" s="111">
        <v>270</v>
      </c>
      <c r="AU169" s="111">
        <v>14.5</v>
      </c>
      <c r="AV169" s="93"/>
      <c r="AW169" s="93"/>
      <c r="AX169" s="93"/>
      <c r="AY169" s="93"/>
      <c r="AZ169" s="93"/>
      <c r="BB169" s="94"/>
      <c r="BC169" s="107"/>
      <c r="BD169" s="107"/>
      <c r="BE169" s="94"/>
    </row>
    <row r="170" spans="2:57" hidden="1">
      <c r="B170" s="258" t="s">
        <v>38</v>
      </c>
      <c r="C170" s="258"/>
      <c r="D170" s="258"/>
      <c r="E170" s="258"/>
      <c r="F170" s="258"/>
      <c r="G170" s="258"/>
      <c r="H170" s="92"/>
      <c r="I170" s="258" t="s">
        <v>38</v>
      </c>
      <c r="J170" s="258"/>
      <c r="K170" s="258"/>
      <c r="L170" s="258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53"/>
      <c r="AM170" s="255"/>
      <c r="AN170" s="99">
        <v>4</v>
      </c>
      <c r="AO170" s="99">
        <v>510004</v>
      </c>
      <c r="AP170" s="111">
        <v>2</v>
      </c>
      <c r="AQ170" s="111">
        <v>1280</v>
      </c>
      <c r="AR170" s="112"/>
      <c r="AS170" s="112"/>
      <c r="AT170" s="111">
        <v>360</v>
      </c>
      <c r="AU170" s="111">
        <v>15</v>
      </c>
      <c r="AV170" s="93"/>
      <c r="AW170" s="93"/>
      <c r="AX170" s="93"/>
      <c r="AY170" s="93"/>
      <c r="AZ170" s="93"/>
      <c r="BB170" s="94"/>
      <c r="BE170" s="94"/>
    </row>
    <row r="171" spans="2:57" hidden="1">
      <c r="B171" s="113" t="s">
        <v>39</v>
      </c>
      <c r="C171" s="113"/>
      <c r="D171" s="113"/>
      <c r="E171" s="260"/>
      <c r="F171" s="260"/>
      <c r="G171" s="114" t="s">
        <v>34</v>
      </c>
      <c r="H171" s="92"/>
      <c r="I171" s="113" t="s">
        <v>39</v>
      </c>
      <c r="J171" s="260"/>
      <c r="K171" s="260"/>
      <c r="L171" s="114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53"/>
      <c r="AM171" s="257" t="s">
        <v>155</v>
      </c>
      <c r="AN171" s="99">
        <v>1</v>
      </c>
      <c r="AO171" s="99">
        <v>520001</v>
      </c>
      <c r="AP171" s="111">
        <v>2</v>
      </c>
      <c r="AQ171" s="111">
        <v>7500</v>
      </c>
      <c r="AR171" s="112"/>
      <c r="AS171" s="112"/>
      <c r="AT171" s="111">
        <v>270</v>
      </c>
      <c r="AU171" s="111">
        <v>12</v>
      </c>
      <c r="AV171" s="93"/>
      <c r="AW171" s="93"/>
      <c r="AX171" s="93"/>
      <c r="AY171" s="93"/>
      <c r="AZ171" s="93"/>
      <c r="BB171" s="94"/>
      <c r="BE171" s="94"/>
    </row>
    <row r="172" spans="2:57" hidden="1">
      <c r="H172" s="92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53"/>
      <c r="AM172" s="244"/>
      <c r="AN172" s="99">
        <v>2</v>
      </c>
      <c r="AO172" s="99">
        <v>520002</v>
      </c>
      <c r="AP172" s="111">
        <v>2</v>
      </c>
      <c r="AQ172" s="111">
        <v>3700</v>
      </c>
      <c r="AR172" s="112"/>
      <c r="AS172" s="112"/>
      <c r="AT172" s="111">
        <v>270</v>
      </c>
      <c r="AU172" s="111">
        <v>14.5</v>
      </c>
      <c r="AV172" s="93"/>
      <c r="AW172" s="93"/>
      <c r="AX172" s="93"/>
      <c r="AY172" s="93"/>
      <c r="AZ172" s="93"/>
      <c r="BB172" s="94"/>
      <c r="BE172" s="94"/>
    </row>
    <row r="173" spans="2:57" hidden="1">
      <c r="B173" s="258" t="s">
        <v>141</v>
      </c>
      <c r="C173" s="258"/>
      <c r="D173" s="258"/>
      <c r="E173" s="258"/>
      <c r="F173" s="258"/>
      <c r="G173" s="258"/>
      <c r="H173" s="92"/>
      <c r="I173" s="258" t="s">
        <v>141</v>
      </c>
      <c r="J173" s="258"/>
      <c r="K173" s="258"/>
      <c r="L173" s="258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53"/>
      <c r="AM173" s="244"/>
      <c r="AN173" s="99">
        <v>3</v>
      </c>
      <c r="AO173" s="99">
        <v>520003</v>
      </c>
      <c r="AP173" s="111">
        <v>2</v>
      </c>
      <c r="AQ173" s="111">
        <v>1920</v>
      </c>
      <c r="AR173" s="112"/>
      <c r="AS173" s="112"/>
      <c r="AT173" s="111">
        <v>270</v>
      </c>
      <c r="AU173" s="111">
        <v>14.5</v>
      </c>
      <c r="AV173" s="93"/>
      <c r="AW173" s="93"/>
      <c r="AX173" s="93"/>
      <c r="AY173" s="93"/>
      <c r="AZ173" s="93"/>
      <c r="BB173" s="94"/>
      <c r="BE173" s="94"/>
    </row>
    <row r="174" spans="2:57" ht="16.8" hidden="1" thickBot="1">
      <c r="B174" s="118" t="s">
        <v>362</v>
      </c>
      <c r="C174" s="118"/>
      <c r="D174" s="118"/>
      <c r="E174" s="113" t="s">
        <v>37</v>
      </c>
      <c r="F174" s="40"/>
      <c r="G174" s="114" t="s">
        <v>34</v>
      </c>
      <c r="H174" s="92"/>
      <c r="I174" s="118" t="s">
        <v>362</v>
      </c>
      <c r="J174" s="113" t="s">
        <v>37</v>
      </c>
      <c r="K174" s="40"/>
      <c r="L174" s="114" t="s">
        <v>34</v>
      </c>
      <c r="AL174" s="254"/>
      <c r="AM174" s="245"/>
      <c r="AN174" s="104">
        <v>4</v>
      </c>
      <c r="AO174" s="104">
        <v>520004</v>
      </c>
      <c r="AP174" s="105">
        <v>2</v>
      </c>
      <c r="AQ174" s="105">
        <v>1280</v>
      </c>
      <c r="AR174" s="106"/>
      <c r="AS174" s="106"/>
      <c r="AT174" s="105">
        <v>360</v>
      </c>
      <c r="AU174" s="105">
        <v>15</v>
      </c>
      <c r="AV174" s="93"/>
      <c r="AW174" s="93"/>
      <c r="AX174" s="93"/>
      <c r="AY174" s="93"/>
      <c r="AZ174" s="93"/>
      <c r="BB174" s="94"/>
      <c r="BE174" s="94"/>
    </row>
    <row r="175" spans="2:57" ht="16.2" hidden="1">
      <c r="B175" s="118" t="s">
        <v>363</v>
      </c>
      <c r="C175" s="118"/>
      <c r="D175" s="118"/>
      <c r="E175" s="113" t="s">
        <v>37</v>
      </c>
      <c r="F175" s="40"/>
      <c r="G175" s="114" t="s">
        <v>34</v>
      </c>
      <c r="H175" s="92"/>
      <c r="I175" s="118" t="s">
        <v>363</v>
      </c>
      <c r="J175" s="113" t="s">
        <v>37</v>
      </c>
      <c r="K175" s="40"/>
      <c r="L175" s="114" t="s">
        <v>34</v>
      </c>
      <c r="AL175" s="252" t="s">
        <v>157</v>
      </c>
      <c r="AM175" s="243" t="s">
        <v>154</v>
      </c>
      <c r="AN175" s="108">
        <v>1</v>
      </c>
      <c r="AO175" s="108">
        <v>610001</v>
      </c>
      <c r="AP175" s="109">
        <v>1.4</v>
      </c>
      <c r="AQ175" s="109">
        <v>3360</v>
      </c>
      <c r="AR175" s="110"/>
      <c r="AS175" s="110"/>
      <c r="AT175" s="109">
        <v>190</v>
      </c>
      <c r="AU175" s="109">
        <v>8.5</v>
      </c>
      <c r="AV175" s="93"/>
      <c r="AW175" s="93"/>
      <c r="AX175" s="93"/>
      <c r="AY175" s="93"/>
      <c r="AZ175" s="93"/>
      <c r="BB175" s="94"/>
      <c r="BC175" s="107"/>
      <c r="BD175" s="107"/>
      <c r="BE175" s="94"/>
    </row>
    <row r="176" spans="2:57" hidden="1">
      <c r="B176" s="118" t="s">
        <v>4</v>
      </c>
      <c r="C176" s="118"/>
      <c r="D176" s="118"/>
      <c r="E176" s="113" t="s">
        <v>37</v>
      </c>
      <c r="F176" s="40"/>
      <c r="G176" s="114" t="s">
        <v>34</v>
      </c>
      <c r="H176" s="92"/>
      <c r="I176" s="118" t="s">
        <v>4</v>
      </c>
      <c r="J176" s="113" t="s">
        <v>37</v>
      </c>
      <c r="K176" s="40"/>
      <c r="L176" s="114" t="s">
        <v>34</v>
      </c>
      <c r="AL176" s="253"/>
      <c r="AM176" s="244"/>
      <c r="AN176" s="99">
        <v>2</v>
      </c>
      <c r="AO176" s="99">
        <v>610002</v>
      </c>
      <c r="AP176" s="111">
        <v>1.4</v>
      </c>
      <c r="AQ176" s="111">
        <v>2590</v>
      </c>
      <c r="AR176" s="112"/>
      <c r="AS176" s="112"/>
      <c r="AT176" s="111">
        <v>190</v>
      </c>
      <c r="AU176" s="111">
        <v>10.1</v>
      </c>
      <c r="AV176" s="93"/>
      <c r="AW176" s="93"/>
      <c r="AX176" s="93"/>
      <c r="AY176" s="93"/>
      <c r="AZ176" s="93"/>
      <c r="BB176" s="94"/>
      <c r="BE176" s="94"/>
    </row>
    <row r="177" spans="2:57" hidden="1">
      <c r="B177" s="118" t="s">
        <v>142</v>
      </c>
      <c r="C177" s="118"/>
      <c r="D177" s="118"/>
      <c r="E177" s="113" t="s">
        <v>37</v>
      </c>
      <c r="F177" s="40">
        <v>0</v>
      </c>
      <c r="G177" s="114" t="s">
        <v>34</v>
      </c>
      <c r="H177" s="92"/>
      <c r="I177" s="118" t="s">
        <v>142</v>
      </c>
      <c r="J177" s="113" t="s">
        <v>37</v>
      </c>
      <c r="K177" s="40"/>
      <c r="L177" s="114" t="s">
        <v>34</v>
      </c>
      <c r="AL177" s="253"/>
      <c r="AM177" s="244"/>
      <c r="AN177" s="99">
        <v>3</v>
      </c>
      <c r="AO177" s="99">
        <v>610003</v>
      </c>
      <c r="AP177" s="111">
        <v>1.4</v>
      </c>
      <c r="AQ177" s="111">
        <v>1345</v>
      </c>
      <c r="AR177" s="112"/>
      <c r="AS177" s="112"/>
      <c r="AT177" s="111">
        <v>190</v>
      </c>
      <c r="AU177" s="111">
        <v>10.1</v>
      </c>
      <c r="AV177" s="93"/>
      <c r="AW177" s="93"/>
      <c r="AX177" s="93"/>
      <c r="AY177" s="93"/>
      <c r="AZ177" s="93"/>
      <c r="BB177" s="94"/>
      <c r="BE177" s="94"/>
    </row>
    <row r="178" spans="2:57" hidden="1">
      <c r="H178" s="92"/>
      <c r="S178" s="37" t="s">
        <v>45</v>
      </c>
      <c r="AL178" s="253"/>
      <c r="AM178" s="255"/>
      <c r="AN178" s="99">
        <v>4</v>
      </c>
      <c r="AO178" s="99">
        <v>610004</v>
      </c>
      <c r="AP178" s="111">
        <v>1.4</v>
      </c>
      <c r="AQ178" s="111">
        <v>900</v>
      </c>
      <c r="AR178" s="112"/>
      <c r="AS178" s="112"/>
      <c r="AT178" s="111">
        <v>225</v>
      </c>
      <c r="AU178" s="111">
        <v>10.5</v>
      </c>
      <c r="AV178" s="93"/>
      <c r="AW178" s="93"/>
      <c r="AX178" s="93"/>
      <c r="AY178" s="93"/>
      <c r="AZ178" s="93"/>
      <c r="BB178" s="94"/>
      <c r="BC178" s="107"/>
      <c r="BD178" s="107"/>
      <c r="BE178" s="94"/>
    </row>
    <row r="179" spans="2:57" hidden="1">
      <c r="B179" s="256" t="s">
        <v>47</v>
      </c>
      <c r="C179" s="256"/>
      <c r="D179" s="256"/>
      <c r="E179" s="256"/>
      <c r="F179" s="256"/>
      <c r="G179" s="256"/>
      <c r="H179" s="92"/>
      <c r="I179" s="256" t="s">
        <v>47</v>
      </c>
      <c r="J179" s="256"/>
      <c r="K179" s="256"/>
      <c r="L179" s="256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53"/>
      <c r="AM179" s="257" t="s">
        <v>155</v>
      </c>
      <c r="AN179" s="99">
        <v>1</v>
      </c>
      <c r="AO179" s="99">
        <v>620001</v>
      </c>
      <c r="AP179" s="111">
        <v>1.4</v>
      </c>
      <c r="AQ179" s="111">
        <v>5250</v>
      </c>
      <c r="AR179" s="103"/>
      <c r="AS179" s="103"/>
      <c r="AT179" s="111">
        <v>190</v>
      </c>
      <c r="AU179" s="111">
        <v>8.5</v>
      </c>
    </row>
    <row r="180" spans="2:57" ht="16.2" hidden="1">
      <c r="B180" s="119" t="s">
        <v>364</v>
      </c>
      <c r="C180" s="119"/>
      <c r="D180" s="119"/>
      <c r="E180" s="99"/>
      <c r="G180" s="120" t="s">
        <v>42</v>
      </c>
      <c r="H180" s="92"/>
      <c r="I180" s="121" t="s">
        <v>364</v>
      </c>
      <c r="J180" s="99"/>
      <c r="K180" s="122">
        <f>IF($Q$161&lt;301001,$J$162*$J$165*$Q$180*(100-$K$174)/100,IF($Q$161&lt;=301003,"Nie oblicza się",IF($Q$161&lt;701001,$J$162*$J$165*$Q$180*(100-$K$174)/100,$J$162*$Q$180*(100-$K$174)/100)))</f>
        <v>0</v>
      </c>
      <c r="L180" s="99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53"/>
      <c r="AM180" s="244"/>
      <c r="AN180" s="99">
        <v>2</v>
      </c>
      <c r="AO180" s="99">
        <v>620002</v>
      </c>
      <c r="AP180" s="111">
        <v>1.4</v>
      </c>
      <c r="AQ180" s="111">
        <v>2590</v>
      </c>
      <c r="AR180" s="103"/>
      <c r="AS180" s="103"/>
      <c r="AT180" s="111">
        <v>190</v>
      </c>
      <c r="AU180" s="111">
        <v>10.1</v>
      </c>
    </row>
    <row r="181" spans="2:57" ht="16.2" hidden="1">
      <c r="B181" s="119" t="s">
        <v>365</v>
      </c>
      <c r="C181" s="119"/>
      <c r="D181" s="119"/>
      <c r="E181" s="99"/>
      <c r="G181" s="120" t="s">
        <v>42</v>
      </c>
      <c r="H181" s="92"/>
      <c r="I181" s="121" t="s">
        <v>365</v>
      </c>
      <c r="J181" s="99"/>
      <c r="K181" s="123">
        <f>IF($Q$161&lt;301001,$J$162*$Q$181*(100-$K$175)/100,IF($Q$161&lt;=301003,"Nie oblicza się",$J$162*$Q$181*(100-$K$175)/100))</f>
        <v>0</v>
      </c>
      <c r="L181" s="99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53"/>
      <c r="AM181" s="244"/>
      <c r="AN181" s="99">
        <v>3</v>
      </c>
      <c r="AO181" s="99">
        <v>620003</v>
      </c>
      <c r="AP181" s="111">
        <v>1.4</v>
      </c>
      <c r="AQ181" s="111">
        <v>1345</v>
      </c>
      <c r="AR181" s="112"/>
      <c r="AS181" s="112"/>
      <c r="AT181" s="111">
        <v>190</v>
      </c>
      <c r="AU181" s="111">
        <v>10.1</v>
      </c>
      <c r="AV181" s="93"/>
      <c r="AW181" s="93"/>
      <c r="AX181" s="93"/>
      <c r="AY181" s="93"/>
      <c r="AZ181" s="93"/>
      <c r="BA181" s="93"/>
    </row>
    <row r="182" spans="2:57" ht="16.8" hidden="1" thickBot="1">
      <c r="B182" s="119" t="s">
        <v>366</v>
      </c>
      <c r="C182" s="119"/>
      <c r="D182" s="119"/>
      <c r="E182" s="99"/>
      <c r="G182" s="120" t="s">
        <v>42</v>
      </c>
      <c r="H182" s="92"/>
      <c r="I182" s="121" t="s">
        <v>366</v>
      </c>
      <c r="J182" s="99"/>
      <c r="K182" s="123" t="s">
        <v>160</v>
      </c>
      <c r="L182" s="99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54"/>
      <c r="AM182" s="245"/>
      <c r="AN182" s="104">
        <v>4</v>
      </c>
      <c r="AO182" s="104">
        <v>620004</v>
      </c>
      <c r="AP182" s="105">
        <v>1.4</v>
      </c>
      <c r="AQ182" s="105">
        <v>900</v>
      </c>
      <c r="AR182" s="106"/>
      <c r="AS182" s="106"/>
      <c r="AT182" s="105">
        <v>225</v>
      </c>
      <c r="AU182" s="105">
        <v>10.5</v>
      </c>
      <c r="AV182" s="93"/>
      <c r="AW182" s="93"/>
      <c r="AX182" s="93"/>
      <c r="AY182" s="93"/>
      <c r="AZ182" s="93"/>
      <c r="BA182" s="93"/>
    </row>
    <row r="183" spans="2:57" hidden="1">
      <c r="B183" s="119" t="s">
        <v>40</v>
      </c>
      <c r="C183" s="119"/>
      <c r="D183" s="119"/>
      <c r="E183" s="99"/>
      <c r="G183" s="120" t="s">
        <v>42</v>
      </c>
      <c r="H183" s="92"/>
      <c r="I183" s="121" t="s">
        <v>40</v>
      </c>
      <c r="J183" s="99"/>
      <c r="K183" s="123">
        <f>IF($Q$161&lt;301001,$J$162*$Q$183*(100-$K$176)/100,IF($Q$161&lt;=301003,"Nie oblicza się",$J$162*$Q$183*(100-$K$176)/100))</f>
        <v>0</v>
      </c>
      <c r="L183" s="99" t="s">
        <v>42</v>
      </c>
      <c r="O183" s="37">
        <f>VLOOKUP($O$161,$AO$143:$AU$185,6)</f>
        <v>0</v>
      </c>
      <c r="Q183" s="37">
        <f>VLOOKUP($Q$161,$AO$143:$AU$185,6)</f>
        <v>0</v>
      </c>
      <c r="AM183" s="243" t="s">
        <v>158</v>
      </c>
      <c r="AN183" s="108">
        <v>1</v>
      </c>
      <c r="AO183" s="108">
        <v>701001</v>
      </c>
      <c r="AP183" s="109">
        <f>V199</f>
        <v>0.02</v>
      </c>
      <c r="AQ183" s="109">
        <f>V200</f>
        <v>0.8</v>
      </c>
      <c r="AR183" s="124"/>
      <c r="AS183" s="124">
        <f>V201</f>
        <v>0</v>
      </c>
      <c r="AT183" s="109">
        <f>V202</f>
        <v>11</v>
      </c>
      <c r="AU183" s="109">
        <f>V203</f>
        <v>2.5</v>
      </c>
      <c r="BA183" s="93"/>
    </row>
    <row r="184" spans="2:57" hidden="1">
      <c r="B184" s="246" t="s">
        <v>41</v>
      </c>
      <c r="C184" s="248"/>
      <c r="D184" s="248"/>
      <c r="E184" s="247"/>
      <c r="G184" s="120" t="s">
        <v>42</v>
      </c>
      <c r="H184" s="92"/>
      <c r="I184" s="248" t="s">
        <v>41</v>
      </c>
      <c r="J184" s="247"/>
      <c r="K184" s="123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9" t="s">
        <v>42</v>
      </c>
      <c r="O184" s="37">
        <f>VLOOKUP($O$161,$AO$143:$AU$185,7)</f>
        <v>0</v>
      </c>
      <c r="Q184" s="37">
        <f>VLOOKUP($Q$161,$AO$143:$AU$185,7)</f>
        <v>0</v>
      </c>
      <c r="AM184" s="244"/>
      <c r="AN184" s="99">
        <v>2</v>
      </c>
      <c r="AO184" s="99">
        <v>702001</v>
      </c>
      <c r="AP184" s="111">
        <f>S199</f>
        <v>0.11</v>
      </c>
      <c r="AQ184" s="111">
        <f>S200</f>
        <v>1</v>
      </c>
      <c r="AR184" s="112"/>
      <c r="AS184" s="112">
        <f>S201</f>
        <v>0</v>
      </c>
      <c r="AT184" s="111">
        <f>S202</f>
        <v>26</v>
      </c>
      <c r="AU184" s="111">
        <f>S203</f>
        <v>1.5</v>
      </c>
      <c r="AV184" s="93"/>
      <c r="AW184" s="93"/>
      <c r="AX184" s="93"/>
      <c r="AY184" s="93"/>
      <c r="AZ184" s="93"/>
      <c r="BA184" s="93"/>
    </row>
    <row r="185" spans="2:57" ht="14.4" hidden="1" thickBot="1">
      <c r="H185" s="92"/>
      <c r="AM185" s="245"/>
      <c r="AN185" s="104">
        <v>3</v>
      </c>
      <c r="AO185" s="104">
        <v>702002</v>
      </c>
      <c r="AP185" s="105">
        <f>U199</f>
        <v>0.11</v>
      </c>
      <c r="AQ185" s="105">
        <f>U200</f>
        <v>0.95</v>
      </c>
      <c r="AR185" s="106"/>
      <c r="AS185" s="106">
        <f>U201</f>
        <v>0</v>
      </c>
      <c r="AT185" s="105">
        <f>U202</f>
        <v>16</v>
      </c>
      <c r="AU185" s="105">
        <f>U203</f>
        <v>1.5</v>
      </c>
      <c r="BA185" s="93"/>
    </row>
    <row r="186" spans="2:57" hidden="1">
      <c r="B186" s="249" t="s">
        <v>46</v>
      </c>
      <c r="C186" s="250"/>
      <c r="D186" s="250"/>
      <c r="E186" s="250"/>
      <c r="F186" s="250"/>
      <c r="G186" s="250"/>
      <c r="H186" s="250"/>
      <c r="I186" s="250"/>
      <c r="J186" s="250"/>
      <c r="K186" s="250"/>
      <c r="L186" s="251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</row>
    <row r="187" spans="2:57" ht="16.2" hidden="1">
      <c r="B187" s="126"/>
      <c r="C187" s="126"/>
      <c r="D187" s="126"/>
      <c r="E187" s="119" t="s">
        <v>364</v>
      </c>
      <c r="F187" s="99"/>
      <c r="H187" s="99" t="s">
        <v>42</v>
      </c>
      <c r="L187" s="127"/>
      <c r="AP187" s="100" t="s">
        <v>359</v>
      </c>
      <c r="AQ187" s="100" t="s">
        <v>360</v>
      </c>
      <c r="AR187" s="101" t="s">
        <v>360</v>
      </c>
      <c r="AS187" s="100" t="s">
        <v>361</v>
      </c>
      <c r="AT187" s="100" t="s">
        <v>4</v>
      </c>
      <c r="AU187" s="100" t="s">
        <v>5</v>
      </c>
      <c r="AV187" s="93"/>
      <c r="AW187" s="93"/>
      <c r="AX187" s="93"/>
      <c r="AY187" s="93"/>
      <c r="AZ187" s="93"/>
    </row>
    <row r="188" spans="2:57" ht="16.2" hidden="1">
      <c r="B188" s="126"/>
      <c r="C188" s="126"/>
      <c r="D188" s="126"/>
      <c r="E188" s="119" t="s">
        <v>365</v>
      </c>
      <c r="F188" s="99"/>
      <c r="H188" s="99" t="s">
        <v>42</v>
      </c>
      <c r="L188" s="127"/>
      <c r="AP188" s="93"/>
      <c r="AQ188" s="93"/>
      <c r="AR188" s="93"/>
      <c r="AS188" s="93"/>
      <c r="AT188" s="93"/>
      <c r="AU188" s="93"/>
    </row>
    <row r="189" spans="2:57" ht="16.2" hidden="1">
      <c r="B189" s="126"/>
      <c r="C189" s="126"/>
      <c r="D189" s="126"/>
      <c r="E189" s="119" t="s">
        <v>366</v>
      </c>
      <c r="F189" s="99"/>
      <c r="H189" s="99" t="s">
        <v>42</v>
      </c>
      <c r="L189" s="127"/>
      <c r="AP189" s="93"/>
      <c r="AQ189" s="93"/>
      <c r="AR189" s="93"/>
      <c r="AS189" s="93"/>
      <c r="AT189" s="93"/>
      <c r="AU189" s="93"/>
    </row>
    <row r="190" spans="2:57" hidden="1">
      <c r="B190" s="126"/>
      <c r="C190" s="126"/>
      <c r="D190" s="126"/>
      <c r="E190" s="119" t="s">
        <v>40</v>
      </c>
      <c r="F190" s="99"/>
      <c r="H190" s="99" t="s">
        <v>42</v>
      </c>
      <c r="L190" s="127"/>
      <c r="AP190" s="93"/>
      <c r="AQ190" s="93"/>
      <c r="AR190" s="93"/>
      <c r="AS190" s="93"/>
      <c r="AT190" s="93"/>
      <c r="AU190" s="93"/>
    </row>
    <row r="191" spans="2:57" hidden="1">
      <c r="B191" s="126"/>
      <c r="C191" s="126"/>
      <c r="D191" s="126"/>
      <c r="E191" s="246" t="s">
        <v>41</v>
      </c>
      <c r="F191" s="247"/>
      <c r="H191" s="99" t="s">
        <v>42</v>
      </c>
      <c r="L191" s="127"/>
      <c r="AP191" s="93"/>
      <c r="AQ191" s="93"/>
      <c r="AR191" s="93"/>
      <c r="AS191" s="93"/>
      <c r="AT191" s="93"/>
      <c r="AU191" s="93"/>
    </row>
    <row r="192" spans="2:57" hidden="1">
      <c r="B192" s="128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  <c r="AP192" s="93"/>
      <c r="AQ192" s="93"/>
      <c r="AR192" s="93"/>
      <c r="AS192" s="93"/>
      <c r="AT192" s="93"/>
      <c r="AU192" s="93"/>
    </row>
    <row r="193" spans="2:47" hidden="1">
      <c r="AP193" s="93"/>
      <c r="AQ193" s="93"/>
      <c r="AR193" s="93"/>
      <c r="AS193" s="93"/>
      <c r="AT193" s="93"/>
      <c r="AU193" s="93"/>
    </row>
    <row r="194" spans="2:47" hidden="1">
      <c r="AP194" s="93"/>
      <c r="AQ194" s="93"/>
      <c r="AR194" s="93"/>
      <c r="AS194" s="93"/>
      <c r="AT194" s="93"/>
      <c r="AU194" s="93"/>
    </row>
    <row r="195" spans="2:47" hidden="1">
      <c r="B195" s="242" t="s">
        <v>176</v>
      </c>
      <c r="C195" s="242"/>
      <c r="D195" s="242"/>
      <c r="E195" s="242"/>
      <c r="F195" s="242"/>
      <c r="G195" s="242"/>
      <c r="AP195" s="93"/>
      <c r="AQ195" s="93"/>
      <c r="AR195" s="93"/>
      <c r="AS195" s="93"/>
      <c r="AT195" s="93"/>
      <c r="AU195" s="93"/>
    </row>
    <row r="196" spans="2:47" hidden="1">
      <c r="B196" s="242"/>
      <c r="C196" s="242"/>
      <c r="D196" s="242"/>
      <c r="E196" s="242"/>
      <c r="F196" s="242"/>
      <c r="G196" s="242"/>
      <c r="Q196" s="70" t="s">
        <v>161</v>
      </c>
      <c r="AP196" s="93"/>
      <c r="AQ196" s="93"/>
      <c r="AR196" s="93"/>
      <c r="AS196" s="93"/>
      <c r="AT196" s="93"/>
      <c r="AU196" s="93"/>
    </row>
    <row r="197" spans="2:47" hidden="1">
      <c r="Q197" s="70"/>
      <c r="S197" s="241" t="s">
        <v>6</v>
      </c>
      <c r="T197" s="241"/>
      <c r="U197" s="241"/>
      <c r="V197" s="241" t="s">
        <v>3</v>
      </c>
      <c r="W197" s="241"/>
      <c r="X197" s="241"/>
      <c r="AP197" s="93"/>
      <c r="AQ197" s="93"/>
      <c r="AR197" s="93"/>
      <c r="AS197" s="93"/>
      <c r="AT197" s="93"/>
      <c r="AU197" s="93"/>
    </row>
    <row r="198" spans="2:47" hidden="1">
      <c r="B198" s="242" t="s">
        <v>177</v>
      </c>
      <c r="C198" s="242"/>
      <c r="D198" s="242"/>
      <c r="E198" s="242"/>
      <c r="F198" s="242"/>
      <c r="G198" s="242"/>
      <c r="Q198" s="70"/>
      <c r="S198" s="99" t="s">
        <v>162</v>
      </c>
      <c r="T198" s="99"/>
      <c r="U198" s="99" t="s">
        <v>163</v>
      </c>
      <c r="V198" s="241" t="s">
        <v>264</v>
      </c>
      <c r="W198" s="241"/>
      <c r="X198" s="241"/>
      <c r="AP198" s="93"/>
      <c r="AQ198" s="93"/>
      <c r="AR198" s="93"/>
      <c r="AS198" s="93"/>
      <c r="AT198" s="93"/>
      <c r="AU198" s="93"/>
    </row>
    <row r="199" spans="2:47" ht="16.2" hidden="1">
      <c r="B199" s="242"/>
      <c r="C199" s="242"/>
      <c r="D199" s="242"/>
      <c r="E199" s="242"/>
      <c r="F199" s="242"/>
      <c r="G199" s="242"/>
      <c r="Q199" s="119" t="s">
        <v>364</v>
      </c>
      <c r="R199" s="99"/>
      <c r="S199" s="115">
        <v>0.11</v>
      </c>
      <c r="T199" s="115"/>
      <c r="U199" s="115">
        <v>0.11</v>
      </c>
      <c r="V199" s="233">
        <v>0.02</v>
      </c>
      <c r="W199" s="234"/>
      <c r="X199" s="235"/>
      <c r="AP199" s="93"/>
      <c r="AQ199" s="93"/>
      <c r="AS199" s="93"/>
      <c r="AT199" s="93"/>
      <c r="AU199" s="93"/>
    </row>
    <row r="200" spans="2:47" ht="16.2" hidden="1">
      <c r="Q200" s="119" t="s">
        <v>365</v>
      </c>
      <c r="R200" s="99"/>
      <c r="S200" s="99">
        <v>1</v>
      </c>
      <c r="T200" s="99"/>
      <c r="U200" s="99">
        <v>0.95</v>
      </c>
      <c r="V200" s="233">
        <v>0.8</v>
      </c>
      <c r="W200" s="234"/>
      <c r="X200" s="235"/>
      <c r="AP200" s="93"/>
      <c r="AQ200" s="93"/>
      <c r="AR200" s="93"/>
      <c r="AS200" s="93"/>
      <c r="AT200" s="93"/>
      <c r="AU200" s="93"/>
    </row>
    <row r="201" spans="2:47" ht="16.2" hidden="1">
      <c r="B201" s="242" t="s">
        <v>178</v>
      </c>
      <c r="C201" s="242"/>
      <c r="D201" s="242"/>
      <c r="E201" s="242"/>
      <c r="Q201" s="119" t="s">
        <v>366</v>
      </c>
      <c r="R201" s="99"/>
      <c r="S201" s="99">
        <v>0</v>
      </c>
      <c r="T201" s="99"/>
      <c r="U201" s="99">
        <v>0</v>
      </c>
      <c r="V201" s="233">
        <v>0</v>
      </c>
      <c r="W201" s="234"/>
      <c r="X201" s="235"/>
      <c r="AP201" s="93"/>
      <c r="AQ201" s="93"/>
      <c r="AR201" s="93"/>
      <c r="AS201" s="93"/>
      <c r="AT201" s="93"/>
      <c r="AU201" s="93"/>
    </row>
    <row r="202" spans="2:47" hidden="1">
      <c r="B202" s="242"/>
      <c r="C202" s="242"/>
      <c r="D202" s="242"/>
      <c r="E202" s="242"/>
      <c r="F202" s="242"/>
      <c r="G202" s="242"/>
      <c r="Q202" s="119" t="s">
        <v>40</v>
      </c>
      <c r="R202" s="99"/>
      <c r="S202" s="99">
        <v>26</v>
      </c>
      <c r="T202" s="99"/>
      <c r="U202" s="99">
        <v>16</v>
      </c>
      <c r="V202" s="233">
        <v>11</v>
      </c>
      <c r="W202" s="234"/>
      <c r="X202" s="235"/>
      <c r="AP202" s="93"/>
      <c r="AQ202" s="93"/>
      <c r="AR202" s="93"/>
      <c r="AS202" s="93"/>
      <c r="AT202" s="93"/>
      <c r="AU202" s="93"/>
    </row>
    <row r="203" spans="2:47" hidden="1">
      <c r="Q203" s="231" t="s">
        <v>41</v>
      </c>
      <c r="R203" s="232"/>
      <c r="S203" s="99">
        <v>1.5</v>
      </c>
      <c r="T203" s="99"/>
      <c r="U203" s="99">
        <v>1.5</v>
      </c>
      <c r="V203" s="233">
        <v>2.5</v>
      </c>
      <c r="W203" s="234"/>
      <c r="X203" s="235"/>
      <c r="AP203" s="93"/>
      <c r="AQ203" s="93"/>
      <c r="AR203" s="93"/>
      <c r="AS203" s="93"/>
      <c r="AT203" s="93"/>
      <c r="AU203" s="93"/>
    </row>
    <row r="204" spans="2:47" hidden="1">
      <c r="Q204" s="70" t="s">
        <v>126</v>
      </c>
      <c r="AP204" s="93"/>
      <c r="AQ204" s="93"/>
      <c r="AR204" s="93"/>
      <c r="AS204" s="93"/>
      <c r="AT204" s="93"/>
      <c r="AU204" s="93"/>
    </row>
    <row r="205" spans="2:47" hidden="1">
      <c r="AP205" s="93"/>
      <c r="AQ205" s="93"/>
      <c r="AR205" s="93"/>
      <c r="AS205" s="93"/>
      <c r="AT205" s="93"/>
      <c r="AU205" s="93"/>
    </row>
    <row r="206" spans="2:47" hidden="1">
      <c r="Q206" s="70"/>
      <c r="S206" s="241" t="s">
        <v>6</v>
      </c>
      <c r="T206" s="241"/>
      <c r="U206" s="241"/>
      <c r="V206" s="241" t="s">
        <v>3</v>
      </c>
      <c r="W206" s="241"/>
      <c r="X206" s="241"/>
      <c r="AP206" s="93"/>
      <c r="AQ206" s="93"/>
      <c r="AR206" s="93"/>
      <c r="AS206" s="93"/>
      <c r="AT206" s="93"/>
      <c r="AU206" s="93"/>
    </row>
    <row r="207" spans="2:47" hidden="1">
      <c r="Q207" s="70"/>
      <c r="S207" s="99" t="s">
        <v>162</v>
      </c>
      <c r="T207" s="99"/>
      <c r="U207" s="99" t="s">
        <v>163</v>
      </c>
      <c r="V207" s="241" t="s">
        <v>264</v>
      </c>
      <c r="W207" s="241"/>
      <c r="X207" s="241"/>
      <c r="AP207" s="93"/>
      <c r="AQ207" s="93"/>
      <c r="AR207" s="93"/>
      <c r="AS207" s="93"/>
      <c r="AT207" s="93"/>
      <c r="AU207" s="93"/>
    </row>
    <row r="208" spans="2:47" ht="16.2" hidden="1">
      <c r="Q208" s="119" t="s">
        <v>364</v>
      </c>
      <c r="R208" s="99"/>
      <c r="S208" s="115">
        <v>0.11</v>
      </c>
      <c r="T208" s="115"/>
      <c r="U208" s="115">
        <v>0.11</v>
      </c>
      <c r="V208" s="233">
        <v>0.02</v>
      </c>
      <c r="W208" s="234"/>
      <c r="X208" s="235"/>
      <c r="AP208" s="93"/>
      <c r="AQ208" s="93"/>
      <c r="AR208" s="93"/>
      <c r="AS208" s="93"/>
      <c r="AT208" s="93"/>
      <c r="AU208" s="93"/>
    </row>
    <row r="209" spans="17:47" ht="16.2" hidden="1">
      <c r="Q209" s="119" t="s">
        <v>365</v>
      </c>
      <c r="R209" s="99"/>
      <c r="S209" s="99">
        <v>1</v>
      </c>
      <c r="T209" s="99"/>
      <c r="U209" s="99">
        <v>0.95</v>
      </c>
      <c r="V209" s="233">
        <v>0.8</v>
      </c>
      <c r="W209" s="234"/>
      <c r="X209" s="235"/>
      <c r="AP209" s="93"/>
      <c r="AQ209" s="93"/>
      <c r="AR209" s="93"/>
      <c r="AS209" s="93"/>
      <c r="AT209" s="93"/>
      <c r="AU209" s="93"/>
    </row>
    <row r="210" spans="17:47" ht="16.2" hidden="1">
      <c r="Q210" s="119" t="s">
        <v>366</v>
      </c>
      <c r="R210" s="99"/>
      <c r="S210" s="99">
        <v>0</v>
      </c>
      <c r="T210" s="99"/>
      <c r="U210" s="99">
        <v>0</v>
      </c>
      <c r="V210" s="233">
        <v>0</v>
      </c>
      <c r="W210" s="234"/>
      <c r="X210" s="235"/>
      <c r="AP210" s="93"/>
      <c r="AQ210" s="93"/>
      <c r="AR210" s="93"/>
      <c r="AS210" s="93"/>
      <c r="AT210" s="93"/>
      <c r="AU210" s="93"/>
    </row>
    <row r="211" spans="17:47" hidden="1">
      <c r="Q211" s="119" t="s">
        <v>40</v>
      </c>
      <c r="R211" s="99"/>
      <c r="S211" s="99">
        <v>26</v>
      </c>
      <c r="T211" s="99"/>
      <c r="U211" s="99">
        <v>16</v>
      </c>
      <c r="V211" s="233">
        <v>11</v>
      </c>
      <c r="W211" s="234"/>
      <c r="X211" s="235"/>
      <c r="AP211" s="93"/>
      <c r="AQ211" s="93"/>
      <c r="AR211" s="93"/>
      <c r="AS211" s="93"/>
      <c r="AT211" s="93"/>
      <c r="AU211" s="93"/>
    </row>
    <row r="212" spans="17:47" hidden="1">
      <c r="Q212" s="231" t="s">
        <v>41</v>
      </c>
      <c r="R212" s="232"/>
      <c r="S212" s="99">
        <v>1.5</v>
      </c>
      <c r="T212" s="99"/>
      <c r="U212" s="99">
        <v>1.5</v>
      </c>
      <c r="V212" s="233">
        <v>2.5</v>
      </c>
      <c r="W212" s="234"/>
      <c r="X212" s="235"/>
      <c r="AP212" s="93"/>
      <c r="AQ212" s="93"/>
      <c r="AR212" s="93"/>
      <c r="AS212" s="93"/>
      <c r="AT212" s="93"/>
      <c r="AU212" s="93"/>
    </row>
    <row r="213" spans="17:47" hidden="1">
      <c r="AP213" s="93"/>
      <c r="AQ213" s="93"/>
      <c r="AR213" s="93"/>
      <c r="AS213" s="93"/>
      <c r="AT213" s="93"/>
      <c r="AU213" s="93"/>
    </row>
    <row r="214" spans="17:47" hidden="1">
      <c r="AP214" s="93"/>
      <c r="AQ214" s="93"/>
      <c r="AR214" s="93"/>
      <c r="AS214" s="93"/>
      <c r="AT214" s="93"/>
      <c r="AU214" s="93"/>
    </row>
    <row r="215" spans="17:47" hidden="1">
      <c r="AP215" s="93"/>
      <c r="AQ215" s="93"/>
      <c r="AR215" s="93"/>
      <c r="AS215" s="93"/>
      <c r="AT215" s="93"/>
      <c r="AU215" s="93"/>
    </row>
    <row r="216" spans="17:47" hidden="1">
      <c r="AP216" s="93"/>
      <c r="AQ216" s="93"/>
      <c r="AR216" s="93"/>
      <c r="AS216" s="93"/>
      <c r="AT216" s="93"/>
      <c r="AU216" s="93"/>
    </row>
    <row r="217" spans="17:47" hidden="1">
      <c r="AP217" s="93"/>
      <c r="AQ217" s="93"/>
      <c r="AR217" s="93"/>
      <c r="AS217" s="93"/>
      <c r="AT217" s="93"/>
      <c r="AU217" s="93"/>
    </row>
    <row r="218" spans="17:47" hidden="1">
      <c r="AP218" s="93"/>
      <c r="AQ218" s="93"/>
      <c r="AR218" s="93"/>
      <c r="AS218" s="93"/>
      <c r="AT218" s="93"/>
      <c r="AU218" s="93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36" t="s">
        <v>118</v>
      </c>
      <c r="K228" s="236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119</v>
      </c>
      <c r="K229" s="44" t="s">
        <v>120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201</v>
      </c>
      <c r="X229" s="38" t="s">
        <v>201</v>
      </c>
      <c r="Y229" s="38" t="s">
        <v>202</v>
      </c>
      <c r="Z229" s="38"/>
      <c r="AA229" s="38"/>
    </row>
    <row r="230" spans="1:27" ht="16.2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367</v>
      </c>
      <c r="Y230" s="37" t="s">
        <v>76</v>
      </c>
      <c r="Z230" s="38"/>
      <c r="AA230" s="38"/>
    </row>
    <row r="231" spans="1:27" hidden="1">
      <c r="A231" s="93">
        <v>1</v>
      </c>
      <c r="B231" s="94" t="s">
        <v>117</v>
      </c>
      <c r="C231" s="94"/>
      <c r="D231" s="94"/>
      <c r="F231" s="38"/>
      <c r="G231" s="131" t="s">
        <v>203</v>
      </c>
      <c r="H231" s="38"/>
      <c r="I231" s="38"/>
      <c r="J231" s="38" t="s">
        <v>276</v>
      </c>
      <c r="K231" s="38" t="s">
        <v>276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122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3">
        <v>2</v>
      </c>
      <c r="B232" s="94" t="s">
        <v>144</v>
      </c>
      <c r="C232" s="94"/>
      <c r="D232" s="94"/>
      <c r="F232" s="38"/>
      <c r="G232" s="132">
        <v>860</v>
      </c>
      <c r="H232" s="38"/>
      <c r="I232" s="38"/>
      <c r="J232" s="52" t="s">
        <v>108</v>
      </c>
      <c r="K232" s="133">
        <v>1</v>
      </c>
      <c r="L232" s="38">
        <v>0</v>
      </c>
      <c r="M232" s="134" t="s">
        <v>107</v>
      </c>
      <c r="N232" s="38"/>
      <c r="O232" s="134" t="s">
        <v>106</v>
      </c>
      <c r="P232" s="38"/>
      <c r="Q232" s="52" t="s">
        <v>50</v>
      </c>
      <c r="R232" s="38"/>
      <c r="S232" s="38">
        <v>1</v>
      </c>
      <c r="T232" s="38"/>
      <c r="U232" s="119"/>
      <c r="V232" s="52"/>
      <c r="W232" s="53"/>
      <c r="X232" s="53"/>
      <c r="Y232" s="53"/>
      <c r="Z232" s="38"/>
      <c r="AA232" s="38"/>
    </row>
    <row r="233" spans="1:27" hidden="1">
      <c r="A233" s="93">
        <v>3</v>
      </c>
      <c r="B233" s="94" t="s">
        <v>15</v>
      </c>
      <c r="C233" s="94"/>
      <c r="D233" s="94"/>
      <c r="F233" s="38"/>
      <c r="G233" s="38"/>
      <c r="H233" s="38"/>
      <c r="I233" s="38"/>
      <c r="J233" s="52" t="s">
        <v>105</v>
      </c>
      <c r="K233" s="133">
        <v>2</v>
      </c>
      <c r="L233" s="38">
        <v>0</v>
      </c>
      <c r="M233" s="134" t="s">
        <v>104</v>
      </c>
      <c r="N233" s="38"/>
      <c r="O233" s="134" t="s">
        <v>103</v>
      </c>
      <c r="P233" s="38"/>
      <c r="Q233" s="52" t="s">
        <v>49</v>
      </c>
      <c r="R233" s="38"/>
      <c r="S233" s="38">
        <v>2</v>
      </c>
      <c r="T233" s="38"/>
      <c r="U233" s="119"/>
      <c r="V233" s="52"/>
      <c r="W233" s="53"/>
      <c r="X233" s="53"/>
      <c r="Y233" s="53"/>
      <c r="Z233" s="38"/>
      <c r="AA233" s="38"/>
    </row>
    <row r="234" spans="1:27" hidden="1">
      <c r="A234" s="93">
        <v>4</v>
      </c>
      <c r="B234" s="94" t="s">
        <v>145</v>
      </c>
      <c r="C234" s="94"/>
      <c r="D234" s="94"/>
      <c r="F234" s="38"/>
      <c r="G234" s="38"/>
      <c r="H234" s="38"/>
      <c r="I234" s="38"/>
      <c r="J234" s="52" t="s">
        <v>102</v>
      </c>
      <c r="K234" s="133">
        <v>3</v>
      </c>
      <c r="L234" s="38"/>
      <c r="M234" s="134" t="s">
        <v>101</v>
      </c>
      <c r="N234" s="38"/>
      <c r="O234" s="134" t="s">
        <v>100</v>
      </c>
      <c r="P234" s="38"/>
      <c r="Q234" s="52" t="s">
        <v>82</v>
      </c>
      <c r="R234" s="38"/>
      <c r="S234" s="38">
        <v>1</v>
      </c>
      <c r="T234" s="38"/>
      <c r="U234" s="119"/>
      <c r="V234" s="52"/>
      <c r="W234" s="53"/>
      <c r="X234" s="53"/>
      <c r="Y234" s="53"/>
      <c r="Z234" s="38"/>
      <c r="AA234" s="38"/>
    </row>
    <row r="235" spans="1:27" hidden="1">
      <c r="A235" s="93">
        <v>5</v>
      </c>
      <c r="B235" s="94" t="s">
        <v>149</v>
      </c>
      <c r="C235" s="94"/>
      <c r="D235" s="94"/>
      <c r="F235" s="38"/>
      <c r="G235" s="38"/>
      <c r="H235" s="38"/>
      <c r="I235" s="38"/>
      <c r="J235" s="52" t="s">
        <v>99</v>
      </c>
      <c r="K235" s="133">
        <v>4</v>
      </c>
      <c r="L235" s="38"/>
      <c r="M235" s="134" t="s">
        <v>98</v>
      </c>
      <c r="N235" s="38"/>
      <c r="O235" s="134" t="s">
        <v>97</v>
      </c>
      <c r="P235" s="38"/>
      <c r="Q235" s="52" t="s">
        <v>81</v>
      </c>
      <c r="R235" s="38"/>
      <c r="S235" s="38">
        <v>2</v>
      </c>
      <c r="T235" s="38"/>
      <c r="U235" s="119"/>
      <c r="V235" s="52"/>
      <c r="W235" s="53"/>
      <c r="X235" s="53"/>
      <c r="Y235" s="53"/>
      <c r="Z235" s="38"/>
      <c r="AA235" s="38"/>
    </row>
    <row r="236" spans="1:27" hidden="1">
      <c r="A236" s="93">
        <v>6</v>
      </c>
      <c r="B236" s="94" t="s">
        <v>150</v>
      </c>
      <c r="C236" s="94"/>
      <c r="D236" s="94"/>
      <c r="F236" s="38"/>
      <c r="G236" s="38"/>
      <c r="H236" s="38"/>
      <c r="I236" s="38"/>
      <c r="J236" s="52" t="s">
        <v>129</v>
      </c>
      <c r="K236" s="133">
        <v>5</v>
      </c>
      <c r="L236" s="38"/>
      <c r="M236" s="134" t="s">
        <v>198</v>
      </c>
      <c r="N236" s="38"/>
      <c r="O236" s="134" t="s">
        <v>96</v>
      </c>
      <c r="P236" s="38"/>
      <c r="Q236" s="52" t="s">
        <v>79</v>
      </c>
      <c r="R236" s="38"/>
      <c r="S236" s="38">
        <v>3</v>
      </c>
      <c r="T236" s="38"/>
      <c r="U236" s="119"/>
      <c r="V236" s="52"/>
      <c r="W236" s="53"/>
      <c r="X236" s="53"/>
      <c r="Y236" s="53"/>
      <c r="Z236" s="38"/>
      <c r="AA236" s="38"/>
    </row>
    <row r="237" spans="1:27" hidden="1">
      <c r="A237" s="93">
        <v>7</v>
      </c>
      <c r="B237" s="94" t="s">
        <v>146</v>
      </c>
      <c r="C237" s="94"/>
      <c r="D237" s="94"/>
      <c r="F237" s="38"/>
      <c r="G237" s="38"/>
      <c r="H237" s="38"/>
      <c r="I237" s="38"/>
      <c r="J237" s="52" t="s">
        <v>130</v>
      </c>
      <c r="K237" s="133">
        <v>6</v>
      </c>
      <c r="L237" s="38"/>
      <c r="M237" s="134" t="s">
        <v>135</v>
      </c>
      <c r="N237" s="38"/>
      <c r="O237" s="134" t="s">
        <v>95</v>
      </c>
      <c r="P237" s="38"/>
      <c r="Q237" s="52" t="s">
        <v>78</v>
      </c>
      <c r="R237" s="38"/>
      <c r="S237" s="38">
        <v>1</v>
      </c>
      <c r="T237" s="38"/>
      <c r="U237" s="119"/>
      <c r="V237" s="52"/>
      <c r="W237" s="53"/>
      <c r="X237" s="53"/>
      <c r="Y237" s="53"/>
      <c r="Z237" s="38"/>
      <c r="AA237" s="38"/>
    </row>
    <row r="238" spans="1:27" hidden="1">
      <c r="A238" s="135">
        <v>8</v>
      </c>
      <c r="B238" s="94" t="s">
        <v>275</v>
      </c>
      <c r="C238" s="94"/>
      <c r="D238" s="94"/>
      <c r="E238" s="38"/>
      <c r="F238" s="38"/>
      <c r="G238" s="38"/>
      <c r="H238" s="38"/>
      <c r="I238" s="38"/>
      <c r="J238" s="52" t="s">
        <v>131</v>
      </c>
      <c r="K238" s="133">
        <v>7</v>
      </c>
      <c r="L238" s="38"/>
      <c r="M238" s="134" t="s">
        <v>136</v>
      </c>
      <c r="N238" s="38"/>
      <c r="O238" s="134" t="s">
        <v>94</v>
      </c>
      <c r="P238" s="38"/>
      <c r="Q238" s="52" t="s">
        <v>77</v>
      </c>
      <c r="R238" s="38"/>
      <c r="S238" s="38">
        <v>2</v>
      </c>
      <c r="T238" s="38"/>
      <c r="U238" s="119"/>
      <c r="V238" s="52"/>
      <c r="W238" s="53"/>
      <c r="X238" s="53"/>
      <c r="Y238" s="53"/>
      <c r="Z238" s="38"/>
      <c r="AA238" s="38"/>
    </row>
    <row r="239" spans="1:27" hidden="1">
      <c r="A239" s="135">
        <v>9</v>
      </c>
      <c r="B239" s="94" t="s">
        <v>299</v>
      </c>
      <c r="C239" s="94"/>
      <c r="D239" s="94"/>
      <c r="E239" s="38"/>
      <c r="F239" s="38"/>
      <c r="G239" s="38"/>
      <c r="H239" s="38"/>
      <c r="I239" s="38"/>
      <c r="J239" s="52" t="s">
        <v>132</v>
      </c>
      <c r="K239" s="133">
        <v>8</v>
      </c>
      <c r="L239" s="38"/>
      <c r="M239" s="134" t="s">
        <v>137</v>
      </c>
      <c r="N239" s="38"/>
      <c r="O239" s="134" t="s">
        <v>93</v>
      </c>
      <c r="P239" s="38"/>
      <c r="Q239" s="52" t="s">
        <v>75</v>
      </c>
      <c r="R239" s="38"/>
      <c r="S239" s="38">
        <v>3</v>
      </c>
      <c r="T239" s="38"/>
      <c r="U239" s="119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3">
        <v>9</v>
      </c>
      <c r="L240" s="38"/>
      <c r="M240" s="134" t="s">
        <v>138</v>
      </c>
      <c r="N240" s="38"/>
      <c r="O240" s="134" t="s">
        <v>91</v>
      </c>
      <c r="P240" s="38"/>
      <c r="Q240" s="52" t="s">
        <v>74</v>
      </c>
      <c r="R240" s="38"/>
      <c r="S240" s="38">
        <v>4</v>
      </c>
      <c r="T240" s="38"/>
      <c r="U240" s="119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251</v>
      </c>
      <c r="K241" s="133">
        <v>10</v>
      </c>
      <c r="L241" s="38"/>
      <c r="M241" s="134" t="s">
        <v>250</v>
      </c>
      <c r="N241" s="38"/>
      <c r="O241" s="134" t="s">
        <v>90</v>
      </c>
      <c r="P241" s="38"/>
      <c r="Q241" s="52"/>
      <c r="R241" s="38"/>
      <c r="S241" s="38"/>
      <c r="T241" s="38"/>
      <c r="U241" s="119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133</v>
      </c>
      <c r="K242" s="133">
        <v>11</v>
      </c>
      <c r="L242" s="38"/>
      <c r="M242" s="134" t="s">
        <v>253</v>
      </c>
      <c r="N242" s="38"/>
      <c r="O242" s="134" t="s">
        <v>89</v>
      </c>
      <c r="P242" s="38"/>
      <c r="Q242" s="52" t="s">
        <v>140</v>
      </c>
      <c r="R242" s="38"/>
      <c r="S242" s="38">
        <v>4</v>
      </c>
      <c r="T242" s="38"/>
      <c r="U242" s="119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134</v>
      </c>
      <c r="K243" s="133">
        <v>12</v>
      </c>
      <c r="L243" s="38"/>
      <c r="M243" s="134" t="s">
        <v>254</v>
      </c>
      <c r="N243" s="38"/>
      <c r="O243" s="134" t="s">
        <v>87</v>
      </c>
      <c r="P243" s="38"/>
      <c r="Q243" s="52" t="s">
        <v>73</v>
      </c>
      <c r="R243" s="38"/>
      <c r="S243" s="38">
        <v>5</v>
      </c>
      <c r="T243" s="38"/>
      <c r="U243" s="119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3">
        <v>13</v>
      </c>
      <c r="L244" s="38"/>
      <c r="M244" s="134" t="s">
        <v>255</v>
      </c>
      <c r="N244" s="38"/>
      <c r="O244" s="134" t="s">
        <v>85</v>
      </c>
      <c r="P244" s="38"/>
      <c r="Q244" s="52" t="s">
        <v>72</v>
      </c>
      <c r="R244" s="38"/>
      <c r="S244" s="38">
        <v>6</v>
      </c>
      <c r="T244" s="38"/>
      <c r="U244" s="119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3">
        <v>14</v>
      </c>
      <c r="L245" s="38"/>
      <c r="M245" s="134" t="s">
        <v>282</v>
      </c>
      <c r="N245" s="38"/>
      <c r="O245" s="134" t="s">
        <v>83</v>
      </c>
      <c r="P245" s="38"/>
      <c r="Q245" s="52"/>
      <c r="R245" s="38"/>
      <c r="S245" s="38"/>
      <c r="T245" s="38"/>
      <c r="U245" s="119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3">
        <v>15</v>
      </c>
      <c r="L246" s="38"/>
      <c r="M246" s="134" t="s">
        <v>283</v>
      </c>
      <c r="N246" s="38"/>
      <c r="O246" s="134" t="s">
        <v>252</v>
      </c>
      <c r="P246" s="38"/>
      <c r="Q246" s="52"/>
      <c r="R246" s="38"/>
      <c r="S246" s="38"/>
      <c r="T246" s="38"/>
      <c r="U246" s="119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3">
        <v>16</v>
      </c>
      <c r="L247" s="38"/>
      <c r="M247" s="134" t="s">
        <v>278</v>
      </c>
      <c r="N247" s="38"/>
      <c r="O247" s="134" t="s">
        <v>280</v>
      </c>
      <c r="P247" s="38"/>
      <c r="Q247" s="52" t="s">
        <v>139</v>
      </c>
      <c r="R247" s="38"/>
      <c r="S247" s="38">
        <v>7</v>
      </c>
      <c r="T247" s="38"/>
      <c r="U247" s="119"/>
      <c r="V247" s="52"/>
      <c r="W247" s="53"/>
      <c r="X247" s="53"/>
      <c r="Y247" s="53"/>
      <c r="Z247" s="38"/>
      <c r="AA247" s="38"/>
    </row>
    <row r="248" spans="1:27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3">
        <v>17</v>
      </c>
      <c r="L248" s="38"/>
      <c r="M248" s="134" t="s">
        <v>279</v>
      </c>
      <c r="N248" s="38"/>
      <c r="O248" s="134" t="s">
        <v>281</v>
      </c>
      <c r="P248" s="38"/>
      <c r="Q248" s="52" t="s">
        <v>68</v>
      </c>
      <c r="R248" s="38"/>
      <c r="S248" s="38">
        <v>8</v>
      </c>
      <c r="T248" s="38"/>
      <c r="U248" s="119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9"/>
      <c r="V249" s="52"/>
      <c r="W249" s="53"/>
      <c r="X249" s="53"/>
      <c r="Y249" s="53"/>
      <c r="Z249" s="38"/>
      <c r="AA249" s="38"/>
    </row>
    <row r="250" spans="1:27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6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9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199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7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9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200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7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9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2">IF($B$249="1",M235,"")</f>
        <v/>
      </c>
      <c r="C253" s="38"/>
      <c r="D253" s="38"/>
      <c r="E253" s="38"/>
      <c r="F253" s="38" t="str">
        <f t="shared" ref="F253:F262" si="3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7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9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2"/>
        <v/>
      </c>
      <c r="C254" s="38"/>
      <c r="D254" s="38"/>
      <c r="E254" s="38"/>
      <c r="F254" s="38" t="str">
        <f t="shared" si="3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7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9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2"/>
        <v/>
      </c>
      <c r="C255" s="38"/>
      <c r="D255" s="38"/>
      <c r="E255" s="38"/>
      <c r="F255" s="38" t="str">
        <f t="shared" si="3"/>
        <v/>
      </c>
      <c r="G255" s="38"/>
      <c r="H255" s="38"/>
      <c r="I255" s="38"/>
      <c r="J255" s="38" t="str">
        <f>IF($J$251=16,Q236,"")</f>
        <v/>
      </c>
      <c r="K255" s="38"/>
      <c r="L255" s="137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9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2"/>
        <v/>
      </c>
      <c r="C256" s="38"/>
      <c r="D256" s="38"/>
      <c r="E256" s="38"/>
      <c r="F256" s="38" t="str">
        <f t="shared" si="3"/>
        <v/>
      </c>
      <c r="G256" s="38"/>
      <c r="H256" s="38"/>
      <c r="I256" s="38"/>
      <c r="J256" s="38" t="str">
        <f>IF($J$251=14,Q237,IF(J251=15,Q237,""))</f>
        <v/>
      </c>
      <c r="K256" s="38"/>
      <c r="L256" s="137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9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2"/>
        <v/>
      </c>
      <c r="C257" s="38"/>
      <c r="D257" s="38"/>
      <c r="E257" s="38"/>
      <c r="F257" s="38" t="str">
        <f t="shared" si="3"/>
        <v/>
      </c>
      <c r="G257" s="38"/>
      <c r="H257" s="38"/>
      <c r="I257" s="38"/>
      <c r="J257" s="38" t="str">
        <f>IF($J$251=14,Q238,IF(J251=15,Q238,""))</f>
        <v/>
      </c>
      <c r="K257" s="38"/>
      <c r="L257" s="137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9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2"/>
        <v/>
      </c>
      <c r="C258" s="38"/>
      <c r="D258" s="38"/>
      <c r="E258" s="38"/>
      <c r="F258" s="38" t="str">
        <f t="shared" si="3"/>
        <v/>
      </c>
      <c r="G258" s="38"/>
      <c r="H258" s="38"/>
      <c r="I258" s="38"/>
      <c r="J258" s="38" t="str">
        <f>IF($J$251=14,Q239,IF(J251=15,Q239,""))</f>
        <v/>
      </c>
      <c r="K258" s="38"/>
      <c r="L258" s="137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9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2"/>
        <v/>
      </c>
      <c r="C259" s="38"/>
      <c r="D259" s="38"/>
      <c r="E259" s="38"/>
      <c r="F259" s="38" t="str">
        <f t="shared" si="3"/>
        <v/>
      </c>
      <c r="G259" s="38"/>
      <c r="H259" s="38"/>
      <c r="I259" s="38"/>
      <c r="J259" s="38" t="str">
        <f>IF($J$251=14,Q240,IF(J251=15,Q240,""))</f>
        <v/>
      </c>
      <c r="K259" s="38"/>
      <c r="L259" s="137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9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2"/>
        <v/>
      </c>
      <c r="C260" s="38"/>
      <c r="D260" s="38"/>
      <c r="E260" s="38"/>
      <c r="F260" s="38" t="str">
        <f t="shared" si="3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7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9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2"/>
        <v/>
      </c>
      <c r="C261" s="38"/>
      <c r="D261" s="38"/>
      <c r="E261" s="38"/>
      <c r="F261" s="38" t="str">
        <f t="shared" si="3"/>
        <v/>
      </c>
      <c r="G261" s="38"/>
      <c r="H261" s="38"/>
      <c r="I261" s="38"/>
      <c r="J261" s="38" t="str">
        <f>IF($J$251=16,Q243,"")</f>
        <v/>
      </c>
      <c r="K261" s="38"/>
      <c r="L261" s="137" t="str">
        <f>IF($L$251=16,Q243,"")</f>
        <v/>
      </c>
      <c r="M261" s="38"/>
      <c r="N261" s="38"/>
      <c r="O261" s="38"/>
      <c r="P261" s="38"/>
      <c r="Q261" s="138" t="s">
        <v>51</v>
      </c>
      <c r="R261" s="38"/>
      <c r="S261" s="38">
        <v>20</v>
      </c>
      <c r="T261" s="38"/>
      <c r="U261" s="119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2"/>
        <v/>
      </c>
      <c r="C262" s="38"/>
      <c r="D262" s="38"/>
      <c r="E262" s="38"/>
      <c r="F262" s="38" t="str">
        <f t="shared" si="3"/>
        <v/>
      </c>
      <c r="G262" s="38"/>
      <c r="H262" s="38"/>
      <c r="I262" s="38"/>
      <c r="J262" s="38" t="str">
        <f>IF($J$251=16,Q244,"")</f>
        <v/>
      </c>
      <c r="K262" s="38"/>
      <c r="L262" s="137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9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4">IF($J$251=16,Q247,"")</f>
        <v/>
      </c>
      <c r="K263" s="38"/>
      <c r="L263" s="137" t="str">
        <f t="shared" ref="L263:L272" si="5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9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4"/>
        <v/>
      </c>
      <c r="K264" s="38"/>
      <c r="L264" s="137" t="str">
        <f t="shared" si="5"/>
        <v/>
      </c>
      <c r="M264" s="38"/>
      <c r="N264" s="38"/>
      <c r="O264" s="38"/>
      <c r="P264" s="38"/>
      <c r="Q264" s="38"/>
      <c r="R264" s="38"/>
      <c r="S264" s="38"/>
      <c r="T264" s="38"/>
      <c r="U264" s="119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4"/>
        <v/>
      </c>
      <c r="K265" s="38"/>
      <c r="L265" s="137" t="str">
        <f t="shared" si="5"/>
        <v/>
      </c>
      <c r="M265" s="38"/>
      <c r="N265" s="38"/>
      <c r="O265" s="38"/>
      <c r="P265" s="38"/>
      <c r="Q265" s="38"/>
      <c r="R265" s="38"/>
      <c r="S265" s="38"/>
      <c r="T265" s="38"/>
      <c r="U265" s="119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4"/>
        <v/>
      </c>
      <c r="K266" s="38"/>
      <c r="L266" s="137" t="str">
        <f t="shared" si="5"/>
        <v/>
      </c>
      <c r="M266" s="38"/>
      <c r="N266" s="38"/>
      <c r="O266" s="38"/>
      <c r="P266" s="38"/>
      <c r="Q266" s="38"/>
      <c r="R266" s="38"/>
      <c r="S266" s="38"/>
      <c r="T266" s="38"/>
      <c r="U266" s="119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4"/>
        <v/>
      </c>
      <c r="K267" s="38"/>
      <c r="L267" s="137" t="str">
        <f t="shared" si="5"/>
        <v/>
      </c>
      <c r="M267" s="38"/>
      <c r="N267" s="38"/>
      <c r="O267" s="38"/>
      <c r="P267" s="38"/>
      <c r="Q267" s="38"/>
      <c r="R267" s="38"/>
      <c r="S267" s="38"/>
      <c r="T267" s="38"/>
      <c r="U267" s="119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4"/>
        <v/>
      </c>
      <c r="K268" s="38"/>
      <c r="L268" s="137" t="str">
        <f t="shared" si="5"/>
        <v/>
      </c>
      <c r="M268" s="38"/>
      <c r="N268" s="38"/>
      <c r="O268" s="38"/>
      <c r="P268" s="38"/>
      <c r="Q268" s="38"/>
      <c r="R268" s="38"/>
      <c r="S268" s="38"/>
      <c r="T268" s="38"/>
      <c r="U268" s="119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4"/>
        <v/>
      </c>
      <c r="K269" s="38"/>
      <c r="L269" s="137" t="str">
        <f t="shared" si="5"/>
        <v/>
      </c>
      <c r="M269" s="38"/>
      <c r="N269" s="38"/>
      <c r="O269" s="38"/>
      <c r="P269" s="38"/>
      <c r="Q269" s="38"/>
      <c r="R269" s="38"/>
      <c r="S269" s="38"/>
      <c r="T269" s="38"/>
      <c r="U269" s="119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4"/>
        <v/>
      </c>
      <c r="K270" s="38"/>
      <c r="L270" s="137" t="str">
        <f t="shared" si="5"/>
        <v/>
      </c>
      <c r="M270" s="38"/>
      <c r="N270" s="38"/>
      <c r="O270" s="38"/>
      <c r="P270" s="38"/>
      <c r="Q270" s="38"/>
      <c r="R270" s="38"/>
      <c r="S270" s="38"/>
      <c r="T270" s="38"/>
      <c r="U270" s="119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4"/>
        <v/>
      </c>
      <c r="K271" s="38"/>
      <c r="L271" s="137" t="str">
        <f t="shared" si="5"/>
        <v/>
      </c>
      <c r="M271" s="38"/>
      <c r="N271" s="38"/>
      <c r="O271" s="38"/>
      <c r="P271" s="38"/>
      <c r="Q271" s="38"/>
      <c r="R271" s="38"/>
      <c r="S271" s="38"/>
      <c r="T271" s="38"/>
      <c r="U271" s="119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4"/>
        <v/>
      </c>
      <c r="K272" s="38"/>
      <c r="L272" s="137" t="str">
        <f t="shared" si="5"/>
        <v/>
      </c>
      <c r="M272" s="38"/>
      <c r="N272" s="38"/>
      <c r="O272" s="38"/>
      <c r="P272" s="38"/>
      <c r="Q272" s="38"/>
      <c r="R272" s="38"/>
      <c r="S272" s="38"/>
      <c r="T272" s="38"/>
      <c r="U272" s="119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7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9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7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9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7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9"/>
      <c r="V275" s="52"/>
      <c r="W275" s="53"/>
      <c r="X275" s="53"/>
      <c r="Y275" s="53"/>
      <c r="Z275" s="38"/>
      <c r="AA275" s="38"/>
    </row>
    <row r="276" spans="1:27" hidden="1">
      <c r="A276" s="38"/>
      <c r="B276" s="65"/>
      <c r="C276" s="65"/>
      <c r="D276" s="65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7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9"/>
      <c r="V276" s="52"/>
      <c r="W276" s="53"/>
      <c r="X276" s="53"/>
      <c r="Y276" s="53"/>
      <c r="Z276" s="38"/>
      <c r="AA276" s="38"/>
    </row>
    <row r="277" spans="1:27" hidden="1">
      <c r="A277" s="38"/>
      <c r="B277" s="65"/>
      <c r="C277" s="65"/>
      <c r="D277" s="65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7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9"/>
      <c r="V277" s="52"/>
      <c r="W277" s="53"/>
      <c r="X277" s="53"/>
      <c r="Y277" s="53"/>
      <c r="Z277" s="38"/>
      <c r="AA277" s="38"/>
    </row>
    <row r="278" spans="1:27" hidden="1">
      <c r="A278" s="38"/>
      <c r="B278" s="65"/>
      <c r="C278" s="65"/>
      <c r="D278" s="65"/>
      <c r="E278" s="38"/>
      <c r="F278" s="38"/>
      <c r="G278" s="38"/>
      <c r="H278" s="38"/>
      <c r="I278" s="38"/>
      <c r="J278" s="38"/>
      <c r="K278" s="38"/>
      <c r="L278" s="137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9" t="s">
        <v>71</v>
      </c>
      <c r="C294" s="139"/>
      <c r="D294" s="139"/>
      <c r="E294" s="140"/>
      <c r="F294" s="140"/>
      <c r="G294" s="140"/>
      <c r="H294" s="140"/>
      <c r="I294" s="38"/>
      <c r="J294" s="38"/>
      <c r="K294" s="139" t="s">
        <v>71</v>
      </c>
      <c r="L294" s="140"/>
      <c r="M294" s="140"/>
      <c r="N294" s="140"/>
      <c r="O294" s="140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9" t="s">
        <v>70</v>
      </c>
      <c r="C295" s="139"/>
      <c r="D295" s="139"/>
      <c r="E295" s="141"/>
      <c r="F295" s="141"/>
      <c r="G295" s="65" t="str">
        <f>IF($B$257="ton (Mg)",#REF!/1000,"-   ")</f>
        <v xml:space="preserve">-   </v>
      </c>
      <c r="H295" s="38" t="s">
        <v>69</v>
      </c>
      <c r="I295" s="38"/>
      <c r="J295" s="38"/>
      <c r="K295" s="139" t="s">
        <v>70</v>
      </c>
      <c r="L295" s="141"/>
      <c r="M295" s="141"/>
      <c r="N295" s="65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9" t="s">
        <v>67</v>
      </c>
      <c r="C296" s="139"/>
      <c r="D296" s="139"/>
      <c r="E296" s="141"/>
      <c r="F296" s="141"/>
      <c r="G296" s="65" t="e">
        <f>IF(#REF!="m3",#REF!/1000000,"-   ")</f>
        <v>#REF!</v>
      </c>
      <c r="H296" s="38" t="s">
        <v>66</v>
      </c>
      <c r="I296" s="38"/>
      <c r="J296" s="38"/>
      <c r="K296" s="139" t="s">
        <v>67</v>
      </c>
      <c r="L296" s="141"/>
      <c r="M296" s="141"/>
      <c r="N296" s="65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9" t="s">
        <v>64</v>
      </c>
      <c r="C297" s="139"/>
      <c r="D297" s="139"/>
      <c r="E297" s="141"/>
      <c r="F297" s="141"/>
      <c r="G297" s="65" t="str">
        <f>IF($B$257="m3",#REF!/#REF!,"-   ")</f>
        <v xml:space="preserve">-   </v>
      </c>
      <c r="H297" s="38" t="s">
        <v>63</v>
      </c>
      <c r="I297" s="38"/>
      <c r="J297" s="38"/>
      <c r="K297" s="139" t="s">
        <v>64</v>
      </c>
      <c r="L297" s="141"/>
      <c r="M297" s="141"/>
      <c r="N297" s="65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9" t="s">
        <v>125</v>
      </c>
      <c r="C298" s="139"/>
      <c r="D298" s="139"/>
      <c r="E298" s="141"/>
      <c r="F298" s="141"/>
      <c r="G298" s="142" t="str">
        <f>IF($B$257="kg",#REF!/0.73/10^6,"-   ")</f>
        <v xml:space="preserve">-   </v>
      </c>
      <c r="H298" s="38" t="s">
        <v>66</v>
      </c>
      <c r="I298" s="38"/>
      <c r="J298" s="38"/>
      <c r="K298" s="139" t="s">
        <v>125</v>
      </c>
      <c r="L298" s="141"/>
      <c r="M298" s="141"/>
      <c r="N298" s="142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9" t="s">
        <v>123</v>
      </c>
      <c r="C299" s="139"/>
      <c r="D299" s="139"/>
      <c r="E299" s="141"/>
      <c r="F299" s="141"/>
      <c r="G299" s="65" t="str">
        <f>IF($B$257="kg",#REF!/580,"-   ")</f>
        <v xml:space="preserve">-   </v>
      </c>
      <c r="H299" s="38" t="s">
        <v>124</v>
      </c>
      <c r="I299" s="140"/>
      <c r="J299" s="38"/>
      <c r="K299" s="139" t="s">
        <v>123</v>
      </c>
      <c r="L299" s="141"/>
      <c r="M299" s="141"/>
      <c r="N299" s="65" t="str">
        <f>IF($G$257="kg",#REF!/580,"-   ")</f>
        <v xml:space="preserve">-   </v>
      </c>
      <c r="O299" s="38" t="s">
        <v>124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4.4" hidden="1" thickBot="1">
      <c r="A301" s="38"/>
      <c r="B301" s="44" t="s">
        <v>127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4.4" hidden="1" thickBot="1">
      <c r="A302" s="38"/>
      <c r="B302" s="131" t="s">
        <v>128</v>
      </c>
      <c r="C302" s="131"/>
      <c r="D302" s="131"/>
      <c r="E302" s="38"/>
      <c r="F302" s="38"/>
      <c r="G302" s="38"/>
      <c r="H302" s="38"/>
      <c r="I302" s="38"/>
      <c r="J302" s="38"/>
      <c r="K302" s="143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ueAiaPZAFQJpOrp9Jy2QMNS8YDze8To8SIkPJzopvXi0HLZPHItRcEhUyLcKn4zXWAWXmAqlbflJvOpPM0DI6w==" saltValue="wYqC1BGQ5gArx5dLsfmVmg==" spinCount="100000" sheet="1" formatRows="0"/>
  <dataConsolidate/>
  <mergeCells count="199"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</mergeCells>
  <conditionalFormatting sqref="A5:H5">
    <cfRule type="cellIs" dxfId="44" priority="5" operator="equal">
      <formula>""</formula>
    </cfRule>
  </conditionalFormatting>
  <conditionalFormatting sqref="B35">
    <cfRule type="cellIs" dxfId="43" priority="9" operator="equal">
      <formula>""</formula>
    </cfRule>
  </conditionalFormatting>
  <conditionalFormatting sqref="E12:E24 B24">
    <cfRule type="cellIs" dxfId="42" priority="14" operator="equal">
      <formula>""</formula>
    </cfRule>
  </conditionalFormatting>
  <conditionalFormatting sqref="E29:E35">
    <cfRule type="cellIs" dxfId="41" priority="8" operator="equal">
      <formula>""</formula>
    </cfRule>
  </conditionalFormatting>
  <conditionalFormatting sqref="E49">
    <cfRule type="cellIs" dxfId="40" priority="24" operator="equal">
      <formula>""</formula>
    </cfRule>
  </conditionalFormatting>
  <conditionalFormatting sqref="E40:H48">
    <cfRule type="cellIs" dxfId="39" priority="25" operator="equal">
      <formula>""</formula>
    </cfRule>
  </conditionalFormatting>
  <conditionalFormatting sqref="E52:H54">
    <cfRule type="cellIs" dxfId="38" priority="22" operator="equal">
      <formula>""</formula>
    </cfRule>
  </conditionalFormatting>
  <conditionalFormatting sqref="E69:H70">
    <cfRule type="cellIs" dxfId="37" priority="18" operator="equal">
      <formula>""</formula>
    </cfRule>
  </conditionalFormatting>
  <conditionalFormatting sqref="F20:F24">
    <cfRule type="cellIs" dxfId="36" priority="1" operator="equal">
      <formula>""</formula>
    </cfRule>
  </conditionalFormatting>
  <conditionalFormatting sqref="G49">
    <cfRule type="cellIs" dxfId="35" priority="23" operator="equal">
      <formula>""</formula>
    </cfRule>
  </conditionalFormatting>
  <conditionalFormatting sqref="G12:H24">
    <cfRule type="cellIs" dxfId="34" priority="6" operator="equal">
      <formula>""</formula>
    </cfRule>
  </conditionalFormatting>
  <dataValidations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zoomScaleNormal="100" zoomScaleSheetLayoutView="100" workbookViewId="0">
      <selection activeCell="A5" sqref="A5:O5"/>
    </sheetView>
  </sheetViews>
  <sheetFormatPr defaultColWidth="9" defaultRowHeight="13.8"/>
  <cols>
    <col min="1" max="1" width="3.59765625" style="37" customWidth="1"/>
    <col min="2" max="2" width="6.09765625" style="37" customWidth="1"/>
    <col min="3" max="5" width="6.69921875" style="37" customWidth="1"/>
    <col min="6" max="6" width="5.3984375" style="37" customWidth="1"/>
    <col min="7" max="7" width="4.5" style="37" customWidth="1"/>
    <col min="8" max="8" width="4.59765625" style="37" customWidth="1"/>
    <col min="9" max="10" width="3.59765625" style="37" customWidth="1"/>
    <col min="11" max="11" width="4.69921875" style="37" customWidth="1"/>
    <col min="12" max="12" width="5.3984375" style="37" customWidth="1"/>
    <col min="13" max="13" width="3.5" style="37" customWidth="1"/>
    <col min="14" max="20" width="3.59765625" style="37" customWidth="1"/>
    <col min="21" max="16384" width="9" style="37"/>
  </cols>
  <sheetData>
    <row r="1" spans="1:51">
      <c r="A1" s="266" t="s">
        <v>220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51" ht="16.2">
      <c r="A2" s="270" t="s">
        <v>352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51">
      <c r="A3" s="270" t="s">
        <v>210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51" ht="11.25" customHeight="1">
      <c r="A4" s="272" t="s">
        <v>301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</row>
    <row r="6" spans="1:51">
      <c r="A6" s="272" t="s">
        <v>221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</row>
    <row r="7" spans="1:51">
      <c r="A7" s="178" t="s">
        <v>222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355" t="s">
        <v>167</v>
      </c>
      <c r="B9" s="355"/>
      <c r="C9" s="355"/>
      <c r="D9" s="355"/>
      <c r="E9" s="355"/>
      <c r="F9" s="356" t="s">
        <v>223</v>
      </c>
      <c r="G9" s="357"/>
      <c r="H9" s="357"/>
      <c r="I9" s="357"/>
      <c r="J9" s="358"/>
      <c r="K9" s="356" t="s">
        <v>224</v>
      </c>
      <c r="L9" s="357"/>
      <c r="M9" s="357"/>
      <c r="N9" s="357"/>
      <c r="O9" s="358"/>
    </row>
    <row r="10" spans="1:51" ht="26.25" customHeight="1">
      <c r="A10" s="313" t="s">
        <v>225</v>
      </c>
      <c r="B10" s="314"/>
      <c r="C10" s="314"/>
      <c r="D10" s="314"/>
      <c r="E10" s="315"/>
      <c r="F10" s="362"/>
      <c r="G10" s="363"/>
      <c r="H10" s="363"/>
      <c r="I10" s="363"/>
      <c r="J10" s="364"/>
      <c r="K10" s="362"/>
      <c r="L10" s="363"/>
      <c r="M10" s="363"/>
      <c r="N10" s="363"/>
      <c r="O10" s="364"/>
    </row>
    <row r="11" spans="1:51" ht="15" customHeight="1">
      <c r="A11" s="359" t="s">
        <v>277</v>
      </c>
      <c r="B11" s="359"/>
      <c r="C11" s="359"/>
      <c r="D11" s="359"/>
      <c r="E11" s="359"/>
      <c r="F11" s="360"/>
      <c r="G11" s="360"/>
      <c r="H11" s="360"/>
      <c r="I11" s="360"/>
      <c r="J11" s="360"/>
      <c r="K11" s="360"/>
      <c r="L11" s="360"/>
      <c r="M11" s="360"/>
      <c r="N11" s="360"/>
      <c r="O11" s="360"/>
    </row>
    <row r="12" spans="1:51" ht="15" hidden="1" customHeight="1">
      <c r="A12" s="359" t="s">
        <v>274</v>
      </c>
      <c r="B12" s="359"/>
      <c r="C12" s="359"/>
      <c r="D12" s="359"/>
      <c r="E12" s="359"/>
      <c r="F12" s="360"/>
      <c r="G12" s="360"/>
      <c r="H12" s="360"/>
      <c r="I12" s="360"/>
      <c r="J12" s="360"/>
      <c r="K12" s="360"/>
      <c r="L12" s="360"/>
      <c r="M12" s="360"/>
      <c r="N12" s="360"/>
      <c r="O12" s="360"/>
    </row>
    <row r="13" spans="1:51" ht="30" customHeight="1">
      <c r="A13" s="361" t="s">
        <v>226</v>
      </c>
      <c r="B13" s="361"/>
      <c r="C13" s="361"/>
      <c r="D13" s="361"/>
      <c r="E13" s="361"/>
      <c r="F13" s="360"/>
      <c r="G13" s="360"/>
      <c r="H13" s="360"/>
      <c r="I13" s="360"/>
      <c r="J13" s="360"/>
      <c r="K13" s="360"/>
      <c r="L13" s="360"/>
      <c r="M13" s="360"/>
      <c r="N13" s="360"/>
      <c r="O13" s="360"/>
    </row>
    <row r="14" spans="1:51" ht="15" customHeight="1">
      <c r="A14" s="313" t="s">
        <v>375</v>
      </c>
      <c r="B14" s="314"/>
      <c r="C14" s="314"/>
      <c r="D14" s="314"/>
      <c r="E14" s="315"/>
      <c r="F14" s="360"/>
      <c r="G14" s="360"/>
      <c r="H14" s="360"/>
      <c r="I14" s="360"/>
      <c r="J14" s="360"/>
      <c r="K14" s="360"/>
      <c r="L14" s="360"/>
      <c r="M14" s="360"/>
      <c r="N14" s="360"/>
      <c r="O14" s="360"/>
    </row>
    <row r="15" spans="1:51" ht="14.25" customHeight="1">
      <c r="A15" s="368" t="s">
        <v>292</v>
      </c>
      <c r="B15" s="369"/>
      <c r="C15" s="369"/>
      <c r="D15" s="369"/>
      <c r="E15" s="370"/>
      <c r="F15" s="382"/>
      <c r="G15" s="383"/>
      <c r="H15" s="383"/>
      <c r="I15" s="383"/>
      <c r="J15" s="384"/>
      <c r="K15" s="360"/>
      <c r="L15" s="360"/>
      <c r="M15" s="360"/>
      <c r="N15" s="360"/>
      <c r="O15" s="360"/>
    </row>
    <row r="16" spans="1:51" ht="43.5" customHeight="1">
      <c r="A16" s="371"/>
      <c r="B16" s="372"/>
      <c r="C16" s="372"/>
      <c r="D16" s="372"/>
      <c r="E16" s="373"/>
      <c r="F16" s="385"/>
      <c r="G16" s="386"/>
      <c r="H16" s="386"/>
      <c r="I16" s="386"/>
      <c r="J16" s="387"/>
      <c r="K16" s="388" t="s">
        <v>265</v>
      </c>
      <c r="L16" s="389"/>
      <c r="M16" s="179" t="s">
        <v>293</v>
      </c>
      <c r="N16" s="390" t="e">
        <f>(F15-K15)/F15</f>
        <v>#DIV/0!</v>
      </c>
      <c r="O16" s="391"/>
    </row>
    <row r="17" spans="1:15">
      <c r="A17" s="18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4" t="s">
        <v>266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ht="4.5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8.5" customHeight="1">
      <c r="A20" s="374" t="s">
        <v>213</v>
      </c>
      <c r="B20" s="317" t="s">
        <v>288</v>
      </c>
      <c r="C20" s="318"/>
      <c r="D20" s="319"/>
      <c r="E20" s="311" t="s">
        <v>214</v>
      </c>
      <c r="F20" s="311"/>
      <c r="G20" s="311"/>
      <c r="H20" s="311"/>
      <c r="I20" s="311"/>
      <c r="J20" s="348" t="s">
        <v>368</v>
      </c>
      <c r="K20" s="349"/>
      <c r="L20" s="349"/>
      <c r="M20" s="349"/>
      <c r="N20" s="349"/>
      <c r="O20" s="350"/>
    </row>
    <row r="21" spans="1:15">
      <c r="A21" s="375"/>
      <c r="B21" s="376"/>
      <c r="C21" s="377"/>
      <c r="D21" s="378"/>
      <c r="E21" s="311" t="s">
        <v>369</v>
      </c>
      <c r="F21" s="311"/>
      <c r="G21" s="279" t="s">
        <v>303</v>
      </c>
      <c r="H21" s="279"/>
      <c r="I21" s="279"/>
      <c r="J21" s="348" t="s">
        <v>119</v>
      </c>
      <c r="K21" s="349"/>
      <c r="L21" s="350"/>
      <c r="M21" s="379" t="s">
        <v>120</v>
      </c>
      <c r="N21" s="380"/>
      <c r="O21" s="381"/>
    </row>
    <row r="22" spans="1:15" ht="15" customHeight="1">
      <c r="A22" s="156">
        <v>1</v>
      </c>
      <c r="B22" s="368" t="s">
        <v>285</v>
      </c>
      <c r="C22" s="369"/>
      <c r="D22" s="370"/>
      <c r="E22" s="366"/>
      <c r="F22" s="367"/>
      <c r="G22" s="392" t="s">
        <v>300</v>
      </c>
      <c r="H22" s="393"/>
      <c r="I22" s="394"/>
      <c r="J22" s="365"/>
      <c r="K22" s="366"/>
      <c r="L22" s="367"/>
      <c r="M22" s="365"/>
      <c r="N22" s="366"/>
      <c r="O22" s="367"/>
    </row>
    <row r="23" spans="1:15" ht="15" customHeight="1">
      <c r="A23" s="163"/>
      <c r="B23" s="181"/>
      <c r="C23" s="182"/>
      <c r="D23" s="183"/>
      <c r="E23" s="366"/>
      <c r="F23" s="367"/>
      <c r="G23" s="392" t="s">
        <v>300</v>
      </c>
      <c r="H23" s="393"/>
      <c r="I23" s="394"/>
      <c r="J23" s="365"/>
      <c r="K23" s="366"/>
      <c r="L23" s="367"/>
      <c r="M23" s="365"/>
      <c r="N23" s="366"/>
      <c r="O23" s="367"/>
    </row>
    <row r="24" spans="1:15" ht="15" customHeight="1">
      <c r="A24" s="163"/>
      <c r="B24" s="181"/>
      <c r="C24" s="182"/>
      <c r="D24" s="183"/>
      <c r="E24" s="366"/>
      <c r="F24" s="367"/>
      <c r="G24" s="392" t="s">
        <v>300</v>
      </c>
      <c r="H24" s="393"/>
      <c r="I24" s="394"/>
      <c r="J24" s="365"/>
      <c r="K24" s="366"/>
      <c r="L24" s="367"/>
      <c r="M24" s="365"/>
      <c r="N24" s="366"/>
      <c r="O24" s="367"/>
    </row>
    <row r="25" spans="1:15" ht="15" customHeight="1">
      <c r="A25" s="163"/>
      <c r="B25" s="126"/>
      <c r="C25" s="182"/>
      <c r="D25" s="183"/>
      <c r="E25" s="366"/>
      <c r="F25" s="367"/>
      <c r="G25" s="392" t="s">
        <v>300</v>
      </c>
      <c r="H25" s="393"/>
      <c r="I25" s="394"/>
      <c r="J25" s="365"/>
      <c r="K25" s="366"/>
      <c r="L25" s="367"/>
      <c r="M25" s="365"/>
      <c r="N25" s="366"/>
      <c r="O25" s="367"/>
    </row>
    <row r="26" spans="1:15" ht="15" customHeight="1">
      <c r="A26" s="166"/>
      <c r="B26" s="167" t="s">
        <v>370</v>
      </c>
      <c r="C26" s="129"/>
      <c r="D26" s="184">
        <f>SUM(E22:F26)</f>
        <v>0</v>
      </c>
      <c r="E26" s="366"/>
      <c r="F26" s="367"/>
      <c r="G26" s="392" t="s">
        <v>300</v>
      </c>
      <c r="H26" s="393"/>
      <c r="I26" s="394"/>
      <c r="J26" s="365"/>
      <c r="K26" s="366"/>
      <c r="L26" s="367"/>
      <c r="M26" s="365"/>
      <c r="N26" s="366"/>
      <c r="O26" s="367"/>
    </row>
    <row r="27" spans="1:15" ht="15" customHeight="1">
      <c r="A27" s="163">
        <v>2</v>
      </c>
      <c r="B27" s="405" t="s">
        <v>286</v>
      </c>
      <c r="C27" s="406"/>
      <c r="D27" s="407"/>
      <c r="E27" s="366"/>
      <c r="F27" s="367"/>
      <c r="G27" s="392" t="s">
        <v>300</v>
      </c>
      <c r="H27" s="393"/>
      <c r="I27" s="394"/>
      <c r="J27" s="365"/>
      <c r="K27" s="366"/>
      <c r="L27" s="367"/>
      <c r="M27" s="365"/>
      <c r="N27" s="366"/>
      <c r="O27" s="367"/>
    </row>
    <row r="28" spans="1:15" ht="15" customHeight="1">
      <c r="A28" s="163"/>
      <c r="B28" s="126"/>
      <c r="C28" s="182"/>
      <c r="D28" s="183"/>
      <c r="E28" s="366"/>
      <c r="F28" s="367"/>
      <c r="G28" s="392" t="s">
        <v>300</v>
      </c>
      <c r="H28" s="393"/>
      <c r="I28" s="394"/>
      <c r="J28" s="365"/>
      <c r="K28" s="366"/>
      <c r="L28" s="367"/>
      <c r="M28" s="365"/>
      <c r="N28" s="366"/>
      <c r="O28" s="367"/>
    </row>
    <row r="29" spans="1:15" ht="15" customHeight="1">
      <c r="A29" s="166"/>
      <c r="B29" s="167" t="s">
        <v>370</v>
      </c>
      <c r="C29" s="129"/>
      <c r="D29" s="184">
        <f>SUM(E27:F29)</f>
        <v>0</v>
      </c>
      <c r="E29" s="366"/>
      <c r="F29" s="367"/>
      <c r="G29" s="392" t="s">
        <v>300</v>
      </c>
      <c r="H29" s="393"/>
      <c r="I29" s="394"/>
      <c r="J29" s="365"/>
      <c r="K29" s="366"/>
      <c r="L29" s="367"/>
      <c r="M29" s="365"/>
      <c r="N29" s="366"/>
      <c r="O29" s="367"/>
    </row>
    <row r="30" spans="1:15" ht="30" customHeight="1">
      <c r="A30" s="163">
        <v>3</v>
      </c>
      <c r="B30" s="405" t="s">
        <v>376</v>
      </c>
      <c r="C30" s="406"/>
      <c r="D30" s="407"/>
      <c r="E30" s="366"/>
      <c r="F30" s="367"/>
      <c r="G30" s="365"/>
      <c r="H30" s="366"/>
      <c r="I30" s="367"/>
      <c r="J30" s="365"/>
      <c r="K30" s="366"/>
      <c r="L30" s="367"/>
      <c r="M30" s="365"/>
      <c r="N30" s="366"/>
      <c r="O30" s="367"/>
    </row>
    <row r="31" spans="1:15" ht="30" customHeight="1">
      <c r="A31" s="166"/>
      <c r="B31" s="167"/>
      <c r="C31" s="185">
        <f>SUM(E30:F31)</f>
        <v>0</v>
      </c>
      <c r="D31" s="184">
        <f>SUM(G30:I31)</f>
        <v>0</v>
      </c>
      <c r="E31" s="366"/>
      <c r="F31" s="367"/>
      <c r="G31" s="365"/>
      <c r="H31" s="366"/>
      <c r="I31" s="367"/>
      <c r="J31" s="365"/>
      <c r="K31" s="366"/>
      <c r="L31" s="367"/>
      <c r="M31" s="365"/>
      <c r="N31" s="366"/>
      <c r="O31" s="367"/>
    </row>
    <row r="32" spans="1:15" ht="30" customHeight="1">
      <c r="A32" s="163">
        <v>4</v>
      </c>
      <c r="B32" s="405" t="s">
        <v>377</v>
      </c>
      <c r="C32" s="406"/>
      <c r="D32" s="407"/>
      <c r="E32" s="366"/>
      <c r="F32" s="367"/>
      <c r="G32" s="365"/>
      <c r="H32" s="366"/>
      <c r="I32" s="367"/>
      <c r="J32" s="365"/>
      <c r="K32" s="366"/>
      <c r="L32" s="367"/>
      <c r="M32" s="365"/>
      <c r="N32" s="366"/>
      <c r="O32" s="367"/>
    </row>
    <row r="33" spans="1:15" ht="30" customHeight="1">
      <c r="A33" s="115"/>
      <c r="B33" s="167"/>
      <c r="C33" s="185">
        <f>SUM(E32:F33)</f>
        <v>0</v>
      </c>
      <c r="D33" s="184">
        <f>SUM(G32:I33)</f>
        <v>0</v>
      </c>
      <c r="E33" s="366"/>
      <c r="F33" s="367"/>
      <c r="G33" s="365"/>
      <c r="H33" s="366"/>
      <c r="I33" s="367"/>
      <c r="J33" s="365"/>
      <c r="K33" s="366"/>
      <c r="L33" s="367"/>
      <c r="M33" s="365"/>
      <c r="N33" s="366"/>
      <c r="O33" s="367"/>
    </row>
    <row r="34" spans="1:15" ht="30" customHeight="1">
      <c r="A34" s="166">
        <v>5</v>
      </c>
      <c r="B34" s="408"/>
      <c r="C34" s="408"/>
      <c r="D34" s="408"/>
      <c r="E34" s="366"/>
      <c r="F34" s="367"/>
      <c r="G34" s="365"/>
      <c r="H34" s="366"/>
      <c r="I34" s="367"/>
      <c r="J34" s="365"/>
      <c r="K34" s="366"/>
      <c r="L34" s="367"/>
      <c r="M34" s="365"/>
      <c r="N34" s="366"/>
      <c r="O34" s="367"/>
    </row>
    <row r="35" spans="1:15" ht="9" customHeight="1"/>
    <row r="36" spans="1:15" hidden="1"/>
    <row r="37" spans="1:15" hidden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144" t="s">
        <v>267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ht="2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ht="40.5" customHeight="1">
      <c r="A40" s="174" t="s">
        <v>213</v>
      </c>
      <c r="B40" s="402" t="s">
        <v>289</v>
      </c>
      <c r="C40" s="403"/>
      <c r="D40" s="404"/>
      <c r="E40" s="279" t="s">
        <v>216</v>
      </c>
      <c r="F40" s="279"/>
      <c r="G40" s="279"/>
      <c r="H40" s="279"/>
      <c r="I40" s="279"/>
      <c r="J40" s="279"/>
      <c r="K40" s="279"/>
      <c r="L40" s="279"/>
      <c r="M40" s="279"/>
      <c r="N40" s="279"/>
      <c r="O40" s="279"/>
    </row>
    <row r="41" spans="1:15" ht="43.5" customHeight="1">
      <c r="A41" s="59">
        <v>6</v>
      </c>
      <c r="B41" s="297" t="s">
        <v>295</v>
      </c>
      <c r="C41" s="401"/>
      <c r="D41" s="298"/>
      <c r="E41" s="365"/>
      <c r="F41" s="366"/>
      <c r="G41" s="366"/>
      <c r="H41" s="366"/>
      <c r="I41" s="366"/>
      <c r="J41" s="366"/>
      <c r="K41" s="366"/>
      <c r="L41" s="366"/>
      <c r="M41" s="366"/>
      <c r="N41" s="366"/>
      <c r="O41" s="367"/>
    </row>
    <row r="42" spans="1:15" ht="43.5" customHeight="1">
      <c r="A42" s="59">
        <v>7</v>
      </c>
      <c r="B42" s="280" t="s">
        <v>296</v>
      </c>
      <c r="C42" s="312"/>
      <c r="D42" s="281"/>
      <c r="E42" s="365"/>
      <c r="F42" s="366"/>
      <c r="G42" s="366"/>
      <c r="H42" s="366"/>
      <c r="I42" s="366"/>
      <c r="J42" s="366"/>
      <c r="K42" s="366"/>
      <c r="L42" s="366"/>
      <c r="M42" s="366"/>
      <c r="N42" s="366"/>
      <c r="O42" s="367"/>
    </row>
    <row r="43" spans="1:15" ht="43.5" customHeight="1">
      <c r="A43" s="59">
        <v>8</v>
      </c>
      <c r="B43" s="280" t="s">
        <v>297</v>
      </c>
      <c r="C43" s="312"/>
      <c r="D43" s="281"/>
      <c r="E43" s="365"/>
      <c r="F43" s="366"/>
      <c r="G43" s="366"/>
      <c r="H43" s="366"/>
      <c r="I43" s="366"/>
      <c r="J43" s="366"/>
      <c r="K43" s="366"/>
      <c r="L43" s="366"/>
      <c r="M43" s="366"/>
      <c r="N43" s="366"/>
      <c r="O43" s="367"/>
    </row>
    <row r="44" spans="1:15" ht="43.5" customHeight="1">
      <c r="A44" s="59">
        <v>9</v>
      </c>
      <c r="B44" s="280" t="s">
        <v>371</v>
      </c>
      <c r="C44" s="312"/>
      <c r="D44" s="281"/>
      <c r="E44" s="365"/>
      <c r="F44" s="366"/>
      <c r="G44" s="366"/>
      <c r="H44" s="366"/>
      <c r="I44" s="366"/>
      <c r="J44" s="366"/>
      <c r="K44" s="366"/>
      <c r="L44" s="366"/>
      <c r="M44" s="366"/>
      <c r="N44" s="366"/>
      <c r="O44" s="367"/>
    </row>
    <row r="45" spans="1:15" ht="43.5" customHeight="1">
      <c r="A45" s="59">
        <v>10</v>
      </c>
      <c r="B45" s="280" t="s">
        <v>217</v>
      </c>
      <c r="C45" s="312"/>
      <c r="D45" s="281"/>
      <c r="E45" s="365"/>
      <c r="F45" s="366"/>
      <c r="G45" s="366"/>
      <c r="H45" s="366"/>
      <c r="I45" s="366"/>
      <c r="J45" s="366"/>
      <c r="K45" s="366"/>
      <c r="L45" s="366"/>
      <c r="M45" s="366"/>
      <c r="N45" s="366"/>
      <c r="O45" s="367"/>
    </row>
    <row r="46" spans="1:15" ht="43.5" customHeight="1">
      <c r="A46" s="59">
        <v>11</v>
      </c>
      <c r="B46" s="280" t="s">
        <v>218</v>
      </c>
      <c r="C46" s="312"/>
      <c r="D46" s="281"/>
      <c r="E46" s="365"/>
      <c r="F46" s="366"/>
      <c r="G46" s="366"/>
      <c r="H46" s="366"/>
      <c r="I46" s="366"/>
      <c r="J46" s="366"/>
      <c r="K46" s="366"/>
      <c r="L46" s="366"/>
      <c r="M46" s="366"/>
      <c r="N46" s="366"/>
      <c r="O46" s="367"/>
    </row>
    <row r="47" spans="1:15" ht="43.5" customHeight="1">
      <c r="A47" s="59">
        <v>12</v>
      </c>
      <c r="B47" s="398" t="s">
        <v>239</v>
      </c>
      <c r="C47" s="399"/>
      <c r="D47" s="400"/>
      <c r="E47" s="365"/>
      <c r="F47" s="366"/>
      <c r="G47" s="366"/>
      <c r="H47" s="366"/>
      <c r="I47" s="366"/>
      <c r="J47" s="366"/>
      <c r="K47" s="366"/>
      <c r="L47" s="366"/>
      <c r="M47" s="366"/>
      <c r="N47" s="366"/>
      <c r="O47" s="367"/>
    </row>
    <row r="48" spans="1:1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46"/>
    </row>
    <row r="49" spans="1:15" ht="16.2">
      <c r="A49" s="51" t="s">
        <v>378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7" t="s">
        <v>167</v>
      </c>
      <c r="B51" s="188"/>
      <c r="C51" s="188"/>
      <c r="D51" s="188"/>
      <c r="E51" s="189"/>
      <c r="F51" s="269" t="s">
        <v>168</v>
      </c>
      <c r="G51" s="269"/>
      <c r="H51" s="269"/>
      <c r="I51" s="269"/>
      <c r="J51" s="269"/>
      <c r="K51" s="269" t="s">
        <v>112</v>
      </c>
      <c r="L51" s="269"/>
      <c r="M51" s="269"/>
      <c r="N51" s="269"/>
      <c r="O51" s="269"/>
    </row>
    <row r="52" spans="1:15" ht="42.75" customHeight="1">
      <c r="A52" s="312" t="s">
        <v>412</v>
      </c>
      <c r="B52" s="312"/>
      <c r="C52" s="312"/>
      <c r="D52" s="312"/>
      <c r="E52" s="281"/>
      <c r="F52" s="412"/>
      <c r="G52" s="413"/>
      <c r="H52" s="413"/>
      <c r="I52" s="413"/>
      <c r="J52" s="414"/>
      <c r="K52" s="412"/>
      <c r="L52" s="413"/>
      <c r="M52" s="413"/>
      <c r="N52" s="413"/>
      <c r="O52" s="414"/>
    </row>
    <row r="53" spans="1:15" ht="23.25" customHeight="1">
      <c r="A53" s="190" t="s">
        <v>182</v>
      </c>
      <c r="B53" s="191"/>
      <c r="C53" s="191"/>
      <c r="D53" s="191"/>
      <c r="E53" s="125"/>
      <c r="F53" s="410"/>
      <c r="G53" s="410"/>
      <c r="H53" s="410"/>
      <c r="I53" s="410"/>
      <c r="J53" s="410"/>
      <c r="K53" s="410"/>
      <c r="L53" s="410"/>
      <c r="M53" s="410"/>
      <c r="N53" s="410"/>
      <c r="O53" s="410"/>
    </row>
    <row r="54" spans="1:15">
      <c r="A54" s="192" t="s">
        <v>227</v>
      </c>
      <c r="B54" s="193"/>
      <c r="C54" s="193"/>
      <c r="D54" s="193"/>
      <c r="E54" s="194"/>
      <c r="F54" s="305">
        <f>F15</f>
        <v>0</v>
      </c>
      <c r="G54" s="305"/>
      <c r="H54" s="305"/>
      <c r="I54" s="305"/>
      <c r="J54" s="305"/>
      <c r="K54" s="411">
        <f>K15</f>
        <v>0</v>
      </c>
      <c r="L54" s="411"/>
      <c r="M54" s="411"/>
      <c r="N54" s="411"/>
      <c r="O54" s="411"/>
    </row>
    <row r="55" spans="1:15">
      <c r="A55" s="187" t="s">
        <v>197</v>
      </c>
      <c r="B55" s="188"/>
      <c r="C55" s="188"/>
      <c r="D55" s="188"/>
      <c r="E55" s="189"/>
      <c r="F55" s="269" t="str">
        <f>IF(F53&lt;&gt;"",VLOOKUP(H128,KOBIZE!T7:X57,5),"N/d")</f>
        <v>N/d</v>
      </c>
      <c r="G55" s="269"/>
      <c r="H55" s="269"/>
      <c r="I55" s="269"/>
      <c r="J55" s="269"/>
      <c r="K55" s="269" t="str">
        <f>IF(K53&lt;&gt;"",VLOOKUP(J128,KOBIZE!T7:X57,5),"N/d")</f>
        <v>N/d</v>
      </c>
      <c r="L55" s="269"/>
      <c r="M55" s="269"/>
      <c r="N55" s="269"/>
      <c r="O55" s="269"/>
    </row>
    <row r="57" spans="1:15">
      <c r="A57" s="339" t="s">
        <v>109</v>
      </c>
      <c r="B57" s="340"/>
      <c r="C57" s="340"/>
      <c r="D57" s="340"/>
      <c r="E57" s="341"/>
      <c r="F57" s="335" t="s">
        <v>110</v>
      </c>
      <c r="G57" s="336"/>
      <c r="H57" s="336"/>
      <c r="I57" s="336"/>
      <c r="J57" s="336"/>
      <c r="K57" s="337"/>
      <c r="L57" s="396" t="s">
        <v>111</v>
      </c>
      <c r="M57" s="409"/>
      <c r="N57" s="409"/>
      <c r="O57" s="397"/>
    </row>
    <row r="58" spans="1:15">
      <c r="A58" s="342"/>
      <c r="B58" s="343"/>
      <c r="C58" s="343"/>
      <c r="D58" s="343"/>
      <c r="E58" s="344"/>
      <c r="F58" s="335" t="s">
        <v>115</v>
      </c>
      <c r="G58" s="336"/>
      <c r="H58" s="337"/>
      <c r="I58" s="335" t="s">
        <v>112</v>
      </c>
      <c r="J58" s="336"/>
      <c r="K58" s="337"/>
      <c r="L58" s="335" t="s">
        <v>113</v>
      </c>
      <c r="M58" s="337"/>
      <c r="N58" s="335" t="s">
        <v>114</v>
      </c>
      <c r="O58" s="337"/>
    </row>
    <row r="59" spans="1:15">
      <c r="A59" s="290">
        <v>1</v>
      </c>
      <c r="B59" s="351"/>
      <c r="C59" s="351"/>
      <c r="D59" s="351"/>
      <c r="E59" s="291"/>
      <c r="F59" s="290">
        <v>2</v>
      </c>
      <c r="G59" s="351"/>
      <c r="H59" s="291"/>
      <c r="I59" s="290">
        <v>3</v>
      </c>
      <c r="J59" s="351"/>
      <c r="K59" s="291"/>
      <c r="L59" s="396">
        <v>4</v>
      </c>
      <c r="M59" s="397"/>
      <c r="N59" s="396">
        <v>5</v>
      </c>
      <c r="O59" s="397"/>
    </row>
    <row r="60" spans="1:15">
      <c r="A60" s="280" t="s">
        <v>374</v>
      </c>
      <c r="B60" s="312"/>
      <c r="C60" s="312"/>
      <c r="D60" s="312"/>
      <c r="E60" s="281"/>
      <c r="F60" s="352" t="str">
        <f>IF(F55&lt;&gt;"N/d",F55*F54,"")</f>
        <v/>
      </c>
      <c r="G60" s="352"/>
      <c r="H60" s="352"/>
      <c r="I60" s="352" t="str">
        <f>IF(K55&lt;&gt;"N/d",K55*K54,"")</f>
        <v/>
      </c>
      <c r="J60" s="352"/>
      <c r="K60" s="352"/>
      <c r="L60" s="353" t="str">
        <f>IF(F60&lt;&gt;"",F60-I60,"N/d")</f>
        <v>N/d</v>
      </c>
      <c r="M60" s="354"/>
      <c r="N60" s="299" t="str">
        <f>IF(F60&lt;&gt;"",(L60/F60)*100,"N/d")</f>
        <v>N/d</v>
      </c>
      <c r="O60" s="300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>
      <c r="A64" s="195"/>
      <c r="B64" s="195"/>
      <c r="C64" s="195"/>
      <c r="D64" s="195"/>
      <c r="E64" s="195"/>
    </row>
    <row r="65" spans="1:17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N65" s="196"/>
    </row>
    <row r="66" spans="1:17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7"/>
      <c r="Q66" s="197"/>
    </row>
    <row r="67" spans="1:17" hidden="1">
      <c r="A67" s="42"/>
      <c r="B67" s="42"/>
      <c r="C67" s="42"/>
      <c r="D67" s="42"/>
      <c r="E67" s="42"/>
      <c r="F67" s="198"/>
      <c r="G67" s="198"/>
      <c r="H67" s="148"/>
      <c r="I67" s="148"/>
      <c r="J67" s="148"/>
      <c r="N67" s="42"/>
    </row>
    <row r="68" spans="1:17" hidden="1">
      <c r="A68" s="87"/>
      <c r="B68" s="87"/>
      <c r="C68" s="87"/>
      <c r="D68" s="87"/>
      <c r="E68" s="87"/>
      <c r="F68" s="86"/>
      <c r="G68" s="86"/>
      <c r="H68" s="87"/>
      <c r="I68" s="87"/>
      <c r="J68" s="87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277" t="s">
        <v>390</v>
      </c>
      <c r="I75" s="277"/>
      <c r="J75" s="277"/>
      <c r="K75" s="277"/>
      <c r="L75" s="277"/>
      <c r="M75" s="277"/>
      <c r="N75" s="277"/>
      <c r="O75" s="277"/>
    </row>
    <row r="76" spans="1:17">
      <c r="A76" s="50"/>
      <c r="B76" s="395" t="str">
        <f ca="1">TEXT(TODAY(),"dd.mm.rrrr")</f>
        <v>18.02.2025</v>
      </c>
      <c r="C76" s="395"/>
      <c r="D76" s="395"/>
      <c r="E76" s="395"/>
      <c r="H76" s="294" t="s">
        <v>328</v>
      </c>
      <c r="I76" s="294"/>
      <c r="J76" s="294"/>
      <c r="K76" s="294"/>
      <c r="L76" s="294"/>
      <c r="M76" s="294"/>
      <c r="N76" s="294"/>
      <c r="O76" s="294"/>
    </row>
    <row r="77" spans="1:17">
      <c r="A77" s="50"/>
      <c r="B77" s="267" t="s">
        <v>179</v>
      </c>
      <c r="C77" s="267"/>
      <c r="D77" s="267"/>
      <c r="E77" s="267"/>
      <c r="H77" s="294"/>
      <c r="I77" s="294"/>
      <c r="J77" s="294"/>
      <c r="K77" s="294"/>
      <c r="L77" s="294"/>
      <c r="M77" s="294"/>
      <c r="N77" s="294"/>
      <c r="O77" s="294"/>
    </row>
    <row r="78" spans="1:17">
      <c r="A78" s="50"/>
      <c r="B78" s="50"/>
      <c r="C78" s="50"/>
    </row>
    <row r="79" spans="1:17" ht="36" customHeight="1">
      <c r="A79" s="292" t="s">
        <v>419</v>
      </c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36" t="s">
        <v>118</v>
      </c>
      <c r="I104" s="236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idden="1">
      <c r="A105" s="38"/>
      <c r="B105" s="38"/>
      <c r="C105" s="38"/>
      <c r="D105" s="38"/>
      <c r="E105" s="38"/>
      <c r="F105" s="38"/>
      <c r="G105" s="38"/>
      <c r="H105" s="44" t="s">
        <v>119</v>
      </c>
      <c r="I105" s="44" t="s">
        <v>120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201</v>
      </c>
      <c r="V105" s="38" t="s">
        <v>201</v>
      </c>
      <c r="W105" s="38" t="s">
        <v>202</v>
      </c>
    </row>
    <row r="106" spans="1:23" ht="16.2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367</v>
      </c>
      <c r="W106" s="37" t="s">
        <v>76</v>
      </c>
    </row>
    <row r="107" spans="1:23" hidden="1">
      <c r="A107" s="93">
        <v>1</v>
      </c>
      <c r="B107" s="94" t="s">
        <v>117</v>
      </c>
      <c r="D107" s="38"/>
      <c r="E107" s="131" t="s">
        <v>203</v>
      </c>
      <c r="F107" s="38"/>
      <c r="G107" s="38"/>
      <c r="H107" s="38" t="s">
        <v>121</v>
      </c>
      <c r="I107" s="38" t="s">
        <v>121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122</v>
      </c>
      <c r="U107" s="38">
        <v>0</v>
      </c>
      <c r="V107" s="38">
        <v>0</v>
      </c>
      <c r="W107" s="38">
        <v>0</v>
      </c>
    </row>
    <row r="108" spans="1:23" hidden="1">
      <c r="A108" s="93">
        <v>2</v>
      </c>
      <c r="B108" s="94" t="s">
        <v>144</v>
      </c>
      <c r="D108" s="38"/>
      <c r="E108" s="132">
        <v>860</v>
      </c>
      <c r="F108" s="38"/>
      <c r="G108" s="38"/>
      <c r="H108" s="52" t="s">
        <v>108</v>
      </c>
      <c r="I108" s="133">
        <v>1</v>
      </c>
      <c r="J108" s="38">
        <v>0</v>
      </c>
      <c r="K108" s="134" t="s">
        <v>107</v>
      </c>
      <c r="L108" s="38"/>
      <c r="M108" s="134" t="s">
        <v>106</v>
      </c>
      <c r="N108" s="38"/>
      <c r="O108" s="52" t="s">
        <v>50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93">
        <v>3</v>
      </c>
      <c r="B109" s="94" t="s">
        <v>15</v>
      </c>
      <c r="D109" s="38"/>
      <c r="E109" s="38"/>
      <c r="F109" s="38"/>
      <c r="G109" s="38"/>
      <c r="H109" s="52" t="s">
        <v>105</v>
      </c>
      <c r="I109" s="133">
        <v>2</v>
      </c>
      <c r="J109" s="38"/>
      <c r="K109" s="134" t="s">
        <v>104</v>
      </c>
      <c r="L109" s="38"/>
      <c r="M109" s="134" t="s">
        <v>103</v>
      </c>
      <c r="N109" s="38"/>
      <c r="O109" s="52" t="s">
        <v>49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93">
        <v>4</v>
      </c>
      <c r="B110" s="94" t="s">
        <v>145</v>
      </c>
      <c r="D110" s="38"/>
      <c r="E110" s="38"/>
      <c r="F110" s="38"/>
      <c r="G110" s="38"/>
      <c r="H110" s="52" t="s">
        <v>102</v>
      </c>
      <c r="I110" s="133">
        <v>3</v>
      </c>
      <c r="J110" s="38"/>
      <c r="K110" s="134" t="s">
        <v>101</v>
      </c>
      <c r="L110" s="38"/>
      <c r="M110" s="134" t="s">
        <v>100</v>
      </c>
      <c r="N110" s="38"/>
      <c r="O110" s="52" t="s">
        <v>82</v>
      </c>
      <c r="P110" s="38"/>
      <c r="Q110" s="38">
        <v>1</v>
      </c>
      <c r="R110" s="38"/>
      <c r="S110" s="119"/>
      <c r="T110" s="52"/>
      <c r="U110" s="53"/>
      <c r="V110" s="53"/>
      <c r="W110" s="53"/>
    </row>
    <row r="111" spans="1:23" hidden="1">
      <c r="A111" s="93">
        <v>5</v>
      </c>
      <c r="B111" s="94" t="s">
        <v>149</v>
      </c>
      <c r="D111" s="38"/>
      <c r="E111" s="38"/>
      <c r="F111" s="38"/>
      <c r="G111" s="38"/>
      <c r="H111" s="52" t="s">
        <v>99</v>
      </c>
      <c r="I111" s="133">
        <v>4</v>
      </c>
      <c r="J111" s="38"/>
      <c r="K111" s="134" t="s">
        <v>98</v>
      </c>
      <c r="L111" s="38"/>
      <c r="M111" s="134" t="s">
        <v>97</v>
      </c>
      <c r="N111" s="38"/>
      <c r="O111" s="52" t="s">
        <v>81</v>
      </c>
      <c r="P111" s="38"/>
      <c r="Q111" s="38">
        <v>2</v>
      </c>
      <c r="R111" s="38"/>
      <c r="S111" s="119"/>
      <c r="T111" s="52"/>
      <c r="U111" s="53"/>
      <c r="V111" s="53"/>
      <c r="W111" s="53"/>
    </row>
    <row r="112" spans="1:23" hidden="1">
      <c r="A112" s="93">
        <v>6</v>
      </c>
      <c r="B112" s="94" t="s">
        <v>150</v>
      </c>
      <c r="D112" s="38"/>
      <c r="E112" s="38"/>
      <c r="F112" s="38"/>
      <c r="G112" s="38"/>
      <c r="H112" s="52" t="s">
        <v>129</v>
      </c>
      <c r="I112" s="133">
        <v>5</v>
      </c>
      <c r="J112" s="38"/>
      <c r="K112" s="134" t="s">
        <v>198</v>
      </c>
      <c r="L112" s="38"/>
      <c r="M112" s="134" t="s">
        <v>96</v>
      </c>
      <c r="N112" s="38"/>
      <c r="O112" s="52" t="s">
        <v>79</v>
      </c>
      <c r="P112" s="38"/>
      <c r="Q112" s="38">
        <v>3</v>
      </c>
      <c r="R112" s="38"/>
      <c r="S112" s="119"/>
      <c r="T112" s="52"/>
      <c r="U112" s="53"/>
      <c r="V112" s="53"/>
      <c r="W112" s="53"/>
    </row>
    <row r="113" spans="1:23" hidden="1">
      <c r="A113" s="93">
        <v>7</v>
      </c>
      <c r="B113" s="94" t="s">
        <v>146</v>
      </c>
      <c r="D113" s="38"/>
      <c r="E113" s="38"/>
      <c r="F113" s="38"/>
      <c r="G113" s="38"/>
      <c r="H113" s="52" t="s">
        <v>130</v>
      </c>
      <c r="I113" s="133">
        <v>6</v>
      </c>
      <c r="J113" s="38"/>
      <c r="K113" s="134" t="s">
        <v>135</v>
      </c>
      <c r="L113" s="38"/>
      <c r="M113" s="134" t="s">
        <v>95</v>
      </c>
      <c r="N113" s="38"/>
      <c r="O113" s="52" t="s">
        <v>78</v>
      </c>
      <c r="P113" s="38"/>
      <c r="Q113" s="38">
        <v>1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131</v>
      </c>
      <c r="I114" s="133">
        <v>7</v>
      </c>
      <c r="J114" s="38"/>
      <c r="K114" s="134" t="s">
        <v>136</v>
      </c>
      <c r="L114" s="38"/>
      <c r="M114" s="134" t="s">
        <v>94</v>
      </c>
      <c r="N114" s="38"/>
      <c r="O114" s="52" t="s">
        <v>77</v>
      </c>
      <c r="P114" s="38"/>
      <c r="Q114" s="38">
        <v>2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132</v>
      </c>
      <c r="I115" s="133">
        <v>8</v>
      </c>
      <c r="J115" s="38"/>
      <c r="K115" s="134" t="s">
        <v>137</v>
      </c>
      <c r="L115" s="38"/>
      <c r="M115" s="134" t="s">
        <v>93</v>
      </c>
      <c r="N115" s="38"/>
      <c r="O115" s="52" t="s">
        <v>75</v>
      </c>
      <c r="P115" s="38"/>
      <c r="Q115" s="38">
        <v>3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3">
        <v>9</v>
      </c>
      <c r="J116" s="38"/>
      <c r="K116" s="134" t="s">
        <v>138</v>
      </c>
      <c r="L116" s="38"/>
      <c r="M116" s="134" t="s">
        <v>91</v>
      </c>
      <c r="N116" s="38"/>
      <c r="O116" s="52" t="s">
        <v>74</v>
      </c>
      <c r="P116" s="38"/>
      <c r="Q116" s="38">
        <v>4</v>
      </c>
      <c r="R116" s="38"/>
      <c r="S116" s="119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251</v>
      </c>
      <c r="I117" s="133">
        <v>10</v>
      </c>
      <c r="J117" s="38"/>
      <c r="K117" s="134" t="s">
        <v>250</v>
      </c>
      <c r="L117" s="38"/>
      <c r="M117" s="134" t="s">
        <v>90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 t="s">
        <v>261</v>
      </c>
      <c r="C118" s="38"/>
      <c r="D118" s="38"/>
      <c r="E118" s="38"/>
      <c r="F118" s="38"/>
      <c r="G118" s="38"/>
      <c r="H118" s="52" t="s">
        <v>133</v>
      </c>
      <c r="I118" s="133">
        <v>11</v>
      </c>
      <c r="J118" s="38"/>
      <c r="K118" s="134" t="s">
        <v>253</v>
      </c>
      <c r="L118" s="38"/>
      <c r="M118" s="134" t="s">
        <v>89</v>
      </c>
      <c r="N118" s="38"/>
      <c r="O118" s="52" t="s">
        <v>140</v>
      </c>
      <c r="P118" s="38"/>
      <c r="Q118" s="38">
        <v>4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 t="s">
        <v>262</v>
      </c>
      <c r="C119" s="38"/>
      <c r="D119" s="38"/>
      <c r="E119" s="38"/>
      <c r="F119" s="38"/>
      <c r="G119" s="38"/>
      <c r="H119" s="52" t="s">
        <v>134</v>
      </c>
      <c r="I119" s="133">
        <v>12</v>
      </c>
      <c r="J119" s="38"/>
      <c r="K119" s="134" t="s">
        <v>254</v>
      </c>
      <c r="L119" s="38"/>
      <c r="M119" s="134" t="s">
        <v>87</v>
      </c>
      <c r="N119" s="38"/>
      <c r="O119" s="52" t="s">
        <v>73</v>
      </c>
      <c r="P119" s="38"/>
      <c r="Q119" s="38">
        <v>5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3">
        <v>13</v>
      </c>
      <c r="J120" s="38"/>
      <c r="K120" s="134" t="s">
        <v>255</v>
      </c>
      <c r="L120" s="38"/>
      <c r="M120" s="134" t="s">
        <v>85</v>
      </c>
      <c r="N120" s="38"/>
      <c r="O120" s="52" t="s">
        <v>72</v>
      </c>
      <c r="P120" s="38"/>
      <c r="Q120" s="38">
        <v>6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3">
        <v>14</v>
      </c>
      <c r="J121" s="38"/>
      <c r="K121" s="134" t="s">
        <v>282</v>
      </c>
      <c r="L121" s="38"/>
      <c r="M121" s="134" t="s">
        <v>83</v>
      </c>
      <c r="N121" s="38"/>
      <c r="O121" s="52"/>
      <c r="P121" s="38"/>
      <c r="Q121" s="38"/>
      <c r="R121" s="38"/>
      <c r="S121" s="119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3">
        <v>15</v>
      </c>
      <c r="J122" s="38"/>
      <c r="K122" s="134" t="s">
        <v>283</v>
      </c>
      <c r="L122" s="38"/>
      <c r="M122" s="134" t="s">
        <v>252</v>
      </c>
      <c r="N122" s="38"/>
      <c r="O122" s="52"/>
      <c r="P122" s="38"/>
      <c r="Q122" s="38"/>
      <c r="R122" s="38"/>
      <c r="S122" s="119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3">
        <v>16</v>
      </c>
      <c r="J123" s="38"/>
      <c r="K123" s="134" t="s">
        <v>278</v>
      </c>
      <c r="L123" s="38"/>
      <c r="M123" s="134" t="s">
        <v>280</v>
      </c>
      <c r="N123" s="38"/>
      <c r="O123" s="52" t="s">
        <v>139</v>
      </c>
      <c r="P123" s="38"/>
      <c r="Q123" s="38">
        <v>7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3">
        <v>17</v>
      </c>
      <c r="J124" s="38"/>
      <c r="K124" s="134" t="s">
        <v>279</v>
      </c>
      <c r="L124" s="38"/>
      <c r="M124" s="134" t="s">
        <v>281</v>
      </c>
      <c r="N124" s="38"/>
      <c r="O124" s="52" t="s">
        <v>68</v>
      </c>
      <c r="P124" s="38"/>
      <c r="Q124" s="38">
        <v>8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6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199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7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200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7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7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7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7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7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7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7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9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7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9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7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9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7" t="str">
        <f>IF($J$127=16,O119,"")</f>
        <v/>
      </c>
      <c r="K137" s="38"/>
      <c r="L137" s="38"/>
      <c r="M137" s="38"/>
      <c r="N137" s="38"/>
      <c r="O137" s="138" t="s">
        <v>51</v>
      </c>
      <c r="P137" s="38"/>
      <c r="Q137" s="38">
        <v>20</v>
      </c>
      <c r="R137" s="38"/>
      <c r="S137" s="119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7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7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7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7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7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7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7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7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7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7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9"/>
      <c r="T151" s="52"/>
      <c r="U151" s="53"/>
      <c r="V151" s="53"/>
      <c r="W151" s="53"/>
    </row>
    <row r="152" spans="1:23" hidden="1">
      <c r="A152" s="38"/>
      <c r="B152" s="65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7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9"/>
      <c r="T152" s="52"/>
      <c r="U152" s="53"/>
      <c r="V152" s="53"/>
      <c r="W152" s="53"/>
    </row>
    <row r="153" spans="1:23" hidden="1">
      <c r="A153" s="38"/>
      <c r="B153" s="65"/>
      <c r="C153" s="38"/>
      <c r="D153" s="38"/>
      <c r="E153" s="38"/>
      <c r="F153" s="38"/>
      <c r="G153" s="38"/>
      <c r="H153" s="38"/>
      <c r="I153" s="38"/>
      <c r="J153" s="137"/>
      <c r="K153" s="38"/>
      <c r="L153" s="38"/>
      <c r="M153" s="38"/>
      <c r="N153" s="38"/>
      <c r="O153" s="38"/>
      <c r="P153" s="38"/>
      <c r="Q153" s="38"/>
      <c r="R153" s="38"/>
      <c r="S153" s="119"/>
      <c r="T153" s="52"/>
      <c r="U153" s="53"/>
      <c r="V153" s="53"/>
      <c r="W153" s="53"/>
    </row>
    <row r="154" spans="1:23" hidden="1">
      <c r="A154" s="38"/>
      <c r="B154" s="65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9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9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ZLud7+SzvdNx607L7Qt+3VjPly8F2AfCre5o/OZDfXvhbZv7iyvI4jIv03bTQTLEkj3yCGZrG7vM8/F8lycIxw==" saltValue="mTdzruZe9R6nTmI576J8ew==" spinCount="100000" sheet="1" formatRows="0"/>
  <mergeCells count="144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A5:O5">
    <cfRule type="cellIs" dxfId="33" priority="77" operator="equal">
      <formula>""</formula>
    </cfRule>
  </conditionalFormatting>
  <conditionalFormatting sqref="B34">
    <cfRule type="cellIs" dxfId="32" priority="5" operator="equal">
      <formula>""</formula>
    </cfRule>
  </conditionalFormatting>
  <conditionalFormatting sqref="E22:E34">
    <cfRule type="cellIs" dxfId="31" priority="4" operator="equal">
      <formula>""</formula>
    </cfRule>
  </conditionalFormatting>
  <conditionalFormatting sqref="E41:E47">
    <cfRule type="cellIs" dxfId="30" priority="6" operator="equal">
      <formula>""</formula>
    </cfRule>
  </conditionalFormatting>
  <conditionalFormatting sqref="F15">
    <cfRule type="cellIs" dxfId="29" priority="72" operator="equal">
      <formula>""</formula>
    </cfRule>
  </conditionalFormatting>
  <conditionalFormatting sqref="F10:O14">
    <cfRule type="cellIs" dxfId="28" priority="68" operator="equal">
      <formula>""</formula>
    </cfRule>
  </conditionalFormatting>
  <conditionalFormatting sqref="F52:O54">
    <cfRule type="cellIs" dxfId="27" priority="67" operator="equal">
      <formula>""</formula>
    </cfRule>
  </conditionalFormatting>
  <conditionalFormatting sqref="G30:G34">
    <cfRule type="cellIs" dxfId="26" priority="3" operator="equal">
      <formula>""</formula>
    </cfRule>
  </conditionalFormatting>
  <conditionalFormatting sqref="J22:J34">
    <cfRule type="cellIs" dxfId="25" priority="2" operator="equal">
      <formula>""</formula>
    </cfRule>
  </conditionalFormatting>
  <conditionalFormatting sqref="K15:O15">
    <cfRule type="cellIs" dxfId="24" priority="61" operator="equal">
      <formula>""</formula>
    </cfRule>
  </conditionalFormatting>
  <conditionalFormatting sqref="M22:M34">
    <cfRule type="cellIs" dxfId="23" priority="1" operator="equal">
      <formula>""</formula>
    </cfRule>
  </conditionalFormatting>
  <conditionalFormatting sqref="N16">
    <cfRule type="cellIs" dxfId="22" priority="62" operator="equal">
      <formula>""</formula>
    </cfRule>
  </conditionalFormatting>
  <dataValidations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7"/>
  <sheetViews>
    <sheetView zoomScaleNormal="100" zoomScaleSheetLayoutView="100" workbookViewId="0">
      <selection activeCell="A5" sqref="A5:T5"/>
    </sheetView>
  </sheetViews>
  <sheetFormatPr defaultColWidth="9" defaultRowHeight="13.8"/>
  <cols>
    <col min="1" max="7" width="3.59765625" style="37" customWidth="1"/>
    <col min="8" max="8" width="4.69921875" style="37" customWidth="1"/>
    <col min="9" max="11" width="5.19921875" style="37" customWidth="1"/>
    <col min="12" max="12" width="3.59765625" style="37" customWidth="1"/>
    <col min="13" max="13" width="5" style="37" customWidth="1"/>
    <col min="14" max="14" width="3.59765625" style="37" customWidth="1"/>
    <col min="15" max="15" width="5.19921875" style="37" customWidth="1"/>
    <col min="16" max="17" width="3.59765625" style="37" customWidth="1"/>
    <col min="18" max="18" width="5.09765625" style="37" customWidth="1"/>
    <col min="19" max="20" width="3.59765625" style="37" customWidth="1"/>
    <col min="21" max="16384" width="9" style="37"/>
  </cols>
  <sheetData>
    <row r="1" spans="1:20" ht="15.75" customHeight="1">
      <c r="A1" s="266" t="s">
        <v>228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 ht="13.5" customHeight="1">
      <c r="A2" s="270" t="s">
        <v>352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</row>
    <row r="3" spans="1:20" ht="26.1" customHeight="1">
      <c r="A3" s="416" t="s">
        <v>385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</row>
    <row r="4" spans="1:20" ht="3.75" customHeight="1">
      <c r="A4" s="272"/>
      <c r="B4" s="272"/>
      <c r="C4" s="272"/>
      <c r="D4" s="272"/>
      <c r="E4" s="272"/>
      <c r="F4" s="272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</row>
    <row r="6" spans="1:20" ht="11.25" customHeight="1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4" t="s">
        <v>379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8"/>
      <c r="Q8" s="38"/>
      <c r="R8" s="38"/>
      <c r="S8" s="38"/>
      <c r="T8" s="38"/>
    </row>
    <row r="9" spans="1:20" ht="3" customHeight="1">
      <c r="A9" s="145"/>
      <c r="B9" s="145"/>
      <c r="C9" s="145"/>
      <c r="D9" s="145"/>
      <c r="E9" s="145"/>
      <c r="F9" s="145"/>
      <c r="G9" s="145"/>
      <c r="H9" s="145"/>
      <c r="K9" s="147"/>
      <c r="L9" s="147"/>
      <c r="N9" s="148"/>
      <c r="O9" s="148"/>
      <c r="Q9" s="147"/>
      <c r="R9" s="147"/>
      <c r="S9" s="147"/>
      <c r="T9" s="147"/>
    </row>
    <row r="10" spans="1:20" ht="24.75" customHeight="1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</row>
    <row r="11" spans="1:20" ht="5.25" customHeight="1">
      <c r="A11" s="150"/>
      <c r="B11" s="147"/>
      <c r="C11" s="148"/>
      <c r="D11" s="148"/>
      <c r="E11" s="152"/>
      <c r="F11" s="82"/>
      <c r="G11" s="154"/>
      <c r="K11" s="155"/>
      <c r="L11" s="155"/>
      <c r="N11" s="147"/>
      <c r="Q11" s="147"/>
      <c r="R11" s="147"/>
      <c r="S11" s="147"/>
    </row>
    <row r="12" spans="1:20">
      <c r="A12" s="144" t="s">
        <v>229</v>
      </c>
      <c r="B12" s="155"/>
      <c r="C12" s="147"/>
      <c r="D12" s="81"/>
      <c r="E12" s="147"/>
      <c r="F12" s="148"/>
      <c r="G12" s="148"/>
      <c r="K12" s="155"/>
      <c r="L12" s="155"/>
      <c r="N12" s="147"/>
      <c r="Q12" s="147"/>
      <c r="R12" s="147"/>
      <c r="S12" s="147"/>
    </row>
    <row r="13" spans="1:20" ht="3.75" customHeight="1">
      <c r="A13" s="145"/>
      <c r="B13" s="155"/>
      <c r="C13" s="147"/>
      <c r="D13" s="81"/>
      <c r="E13" s="147"/>
      <c r="F13" s="148"/>
      <c r="G13" s="148"/>
      <c r="K13" s="155"/>
      <c r="L13" s="155"/>
      <c r="N13" s="147"/>
      <c r="Q13" s="147"/>
      <c r="R13" s="147"/>
      <c r="S13" s="147"/>
    </row>
    <row r="14" spans="1:20">
      <c r="A14" s="418" t="s">
        <v>230</v>
      </c>
      <c r="B14" s="418"/>
      <c r="C14" s="418"/>
      <c r="D14" s="418"/>
      <c r="E14" s="418"/>
      <c r="F14" s="419" t="s">
        <v>231</v>
      </c>
      <c r="G14" s="419"/>
      <c r="H14" s="419"/>
      <c r="I14" s="420"/>
      <c r="J14" s="420"/>
      <c r="K14" s="420"/>
      <c r="L14" s="420"/>
      <c r="N14" s="147"/>
      <c r="Q14" s="147"/>
      <c r="R14" s="147"/>
      <c r="S14" s="147"/>
    </row>
    <row r="15" spans="1:20">
      <c r="A15" s="421" t="s">
        <v>232</v>
      </c>
      <c r="B15" s="421"/>
      <c r="C15" s="421"/>
      <c r="D15" s="421"/>
      <c r="E15" s="421"/>
      <c r="F15" s="421"/>
      <c r="G15" s="421"/>
      <c r="H15" s="421"/>
      <c r="I15" s="421"/>
      <c r="J15" s="150"/>
      <c r="K15" s="150"/>
      <c r="L15" s="150"/>
      <c r="M15" s="150"/>
      <c r="N15" s="150"/>
      <c r="O15" s="150"/>
      <c r="Q15" s="150"/>
      <c r="R15" s="150"/>
      <c r="S15" s="150"/>
    </row>
    <row r="16" spans="1:20">
      <c r="A16" s="418" t="s">
        <v>233</v>
      </c>
      <c r="B16" s="418"/>
      <c r="C16" s="418"/>
      <c r="D16" s="418"/>
      <c r="E16" s="418"/>
      <c r="F16" s="419" t="s">
        <v>380</v>
      </c>
      <c r="G16" s="419"/>
      <c r="H16" s="419"/>
      <c r="I16" s="422"/>
      <c r="J16" s="422"/>
      <c r="K16" s="422"/>
      <c r="L16" s="422"/>
      <c r="M16" s="145"/>
      <c r="N16" s="145"/>
      <c r="P16" s="145"/>
      <c r="Q16" s="145"/>
      <c r="R16" s="145"/>
      <c r="S16" s="145"/>
      <c r="T16" s="145"/>
    </row>
    <row r="17" spans="1:20">
      <c r="A17" s="418" t="s">
        <v>235</v>
      </c>
      <c r="B17" s="418"/>
      <c r="C17" s="418"/>
      <c r="D17" s="418"/>
      <c r="E17" s="418"/>
      <c r="F17" s="425" t="s">
        <v>236</v>
      </c>
      <c r="G17" s="425"/>
      <c r="H17" s="425"/>
      <c r="I17" s="422"/>
      <c r="J17" s="422"/>
      <c r="K17" s="422"/>
      <c r="L17" s="422"/>
      <c r="P17" s="38"/>
      <c r="Q17" s="38"/>
      <c r="R17" s="38"/>
      <c r="S17" s="38"/>
      <c r="T17" s="38"/>
    </row>
    <row r="18" spans="1:20">
      <c r="A18" s="418" t="s">
        <v>237</v>
      </c>
      <c r="B18" s="418"/>
      <c r="C18" s="418"/>
      <c r="D18" s="418"/>
      <c r="E18" s="418"/>
      <c r="F18" s="423" t="s">
        <v>238</v>
      </c>
      <c r="G18" s="423"/>
      <c r="H18" s="423"/>
      <c r="I18" s="316"/>
      <c r="J18" s="316"/>
      <c r="K18" s="316"/>
      <c r="L18" s="316"/>
      <c r="M18" s="145"/>
      <c r="N18" s="145"/>
      <c r="O18" s="145"/>
      <c r="P18" s="145"/>
      <c r="Q18" s="145"/>
      <c r="R18" s="145"/>
      <c r="S18" s="145"/>
      <c r="T18" s="145"/>
    </row>
    <row r="19" spans="1:20" ht="29.25" customHeight="1">
      <c r="A19" s="418" t="s">
        <v>239</v>
      </c>
      <c r="B19" s="418"/>
      <c r="C19" s="418"/>
      <c r="D19" s="418"/>
      <c r="E19" s="418"/>
      <c r="F19" s="316"/>
      <c r="G19" s="316"/>
      <c r="H19" s="316"/>
      <c r="I19" s="316"/>
      <c r="J19" s="316"/>
      <c r="K19" s="316"/>
      <c r="L19" s="316"/>
      <c r="M19" s="145"/>
      <c r="N19" s="145"/>
      <c r="O19" s="145"/>
      <c r="P19" s="145"/>
      <c r="Q19" s="145"/>
      <c r="R19" s="145"/>
      <c r="S19" s="145"/>
      <c r="T19" s="145"/>
    </row>
    <row r="20" spans="1:20" ht="3.75" customHeight="1">
      <c r="A20" s="51"/>
      <c r="B20" s="42"/>
      <c r="C20" s="42"/>
      <c r="D20" s="42"/>
      <c r="E20" s="42"/>
      <c r="F20" s="42"/>
      <c r="L20" s="145"/>
      <c r="M20" s="145"/>
      <c r="N20" s="145"/>
      <c r="O20" s="145"/>
      <c r="P20" s="145"/>
      <c r="Q20" s="145"/>
      <c r="R20" s="145"/>
      <c r="S20" s="145"/>
      <c r="T20" s="145"/>
    </row>
    <row r="21" spans="1:20" ht="26.25" customHeight="1">
      <c r="A21" s="426" t="s">
        <v>386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</row>
    <row r="22" spans="1:20" ht="3.75" customHeight="1">
      <c r="A22" s="144"/>
      <c r="B22" s="42"/>
      <c r="C22" s="42"/>
      <c r="D22" s="42"/>
      <c r="E22" s="42"/>
      <c r="F22" s="42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1:20">
      <c r="A23" s="418" t="s">
        <v>240</v>
      </c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24"/>
      <c r="N23" s="424"/>
      <c r="O23" s="424"/>
      <c r="P23" s="145"/>
      <c r="S23" s="145"/>
      <c r="T23" s="145"/>
    </row>
    <row r="24" spans="1:20">
      <c r="A24" s="418" t="s">
        <v>241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24"/>
      <c r="N24" s="424"/>
      <c r="O24" s="424"/>
      <c r="P24" s="145"/>
      <c r="S24" s="145"/>
      <c r="T24" s="145"/>
    </row>
    <row r="25" spans="1:20" ht="28.5" customHeight="1">
      <c r="A25" s="278" t="s">
        <v>242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424"/>
      <c r="N25" s="424"/>
      <c r="O25" s="424"/>
      <c r="P25" s="145"/>
      <c r="S25" s="145"/>
      <c r="T25" s="145"/>
    </row>
    <row r="26" spans="1:20" ht="15.6">
      <c r="A26" s="418" t="s">
        <v>381</v>
      </c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27" t="str">
        <f>IF(M25&lt;&gt;"",(((M23/3.6)*Y91)+(M24*Y90))-(M25*Y90),"N/d")</f>
        <v>N/d</v>
      </c>
      <c r="N26" s="427"/>
      <c r="O26" s="427"/>
      <c r="P26" s="145"/>
      <c r="S26" s="145"/>
      <c r="T26" s="145"/>
    </row>
    <row r="27" spans="1:20" ht="6.75" customHeight="1">
      <c r="A27" s="144"/>
      <c r="B27" s="42"/>
      <c r="C27" s="42"/>
      <c r="D27" s="42"/>
      <c r="E27" s="42"/>
      <c r="F27" s="42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1:20">
      <c r="A28" s="426" t="s">
        <v>382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</row>
    <row r="29" spans="1:20" ht="2.25" customHeight="1">
      <c r="A29" s="144"/>
      <c r="B29" s="42"/>
      <c r="C29" s="42"/>
      <c r="D29" s="42"/>
      <c r="E29" s="42"/>
      <c r="F29" s="42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1:20">
      <c r="A30" s="418" t="s">
        <v>243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24"/>
      <c r="N30" s="424"/>
      <c r="O30" s="424"/>
      <c r="P30" s="145"/>
      <c r="Q30" s="145"/>
      <c r="R30" s="145"/>
      <c r="S30" s="145"/>
      <c r="T30" s="145"/>
    </row>
    <row r="31" spans="1:20">
      <c r="A31" s="418" t="s">
        <v>244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24"/>
      <c r="N31" s="424"/>
      <c r="O31" s="424"/>
      <c r="P31" s="145"/>
      <c r="Q31" s="145"/>
      <c r="R31" s="145"/>
      <c r="S31" s="145"/>
      <c r="T31" s="145"/>
    </row>
    <row r="32" spans="1:20">
      <c r="A32" s="418" t="s">
        <v>245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27" t="str">
        <f>IF(M31&lt;&gt;"",M30-M31,"")</f>
        <v/>
      </c>
      <c r="N32" s="427"/>
      <c r="O32" s="427"/>
      <c r="P32" s="145"/>
      <c r="Q32" s="145"/>
      <c r="R32" s="145"/>
      <c r="S32" s="145"/>
      <c r="T32" s="145"/>
    </row>
    <row r="33" spans="1:20" ht="15.6">
      <c r="A33" s="418" t="s">
        <v>381</v>
      </c>
      <c r="B33" s="418"/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27" t="str">
        <f>IF(M32&lt;&gt;"",((M30-M31)*Y90),"N/d")</f>
        <v>N/d</v>
      </c>
      <c r="N33" s="427"/>
      <c r="O33" s="427"/>
      <c r="P33" s="145"/>
      <c r="Q33" s="145"/>
      <c r="R33" s="145"/>
      <c r="S33" s="145"/>
      <c r="T33" s="145"/>
    </row>
    <row r="34" spans="1:20" ht="3.75" customHeight="1">
      <c r="A34" s="144"/>
      <c r="B34" s="42"/>
      <c r="C34" s="42"/>
      <c r="D34" s="42"/>
      <c r="E34" s="42"/>
      <c r="F34" s="42"/>
      <c r="L34" s="145"/>
      <c r="M34" s="145"/>
      <c r="N34" s="145"/>
      <c r="O34" s="145"/>
      <c r="P34" s="145"/>
      <c r="Q34" s="145"/>
      <c r="R34" s="145"/>
      <c r="S34" s="145"/>
      <c r="T34" s="145"/>
    </row>
    <row r="35" spans="1:20">
      <c r="A35" s="426" t="s">
        <v>383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</row>
    <row r="36" spans="1:20" ht="4.5" customHeight="1">
      <c r="A36" s="144"/>
      <c r="B36" s="42"/>
      <c r="C36" s="42"/>
      <c r="D36" s="42"/>
      <c r="E36" s="42"/>
      <c r="F36" s="42"/>
      <c r="L36" s="145"/>
      <c r="M36" s="145"/>
      <c r="N36" s="145"/>
      <c r="O36" s="145"/>
      <c r="P36" s="145"/>
      <c r="Q36" s="145"/>
      <c r="R36" s="145"/>
      <c r="S36" s="145"/>
      <c r="T36" s="145"/>
    </row>
    <row r="37" spans="1:20">
      <c r="A37" s="418" t="s">
        <v>246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24"/>
      <c r="N37" s="424"/>
      <c r="O37" s="424"/>
      <c r="P37" s="145"/>
      <c r="Q37" s="145"/>
      <c r="R37" s="145"/>
      <c r="S37" s="145"/>
      <c r="T37" s="145"/>
    </row>
    <row r="38" spans="1:20" ht="26.1" customHeight="1">
      <c r="A38" s="297" t="s">
        <v>247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298"/>
      <c r="M38" s="424"/>
      <c r="N38" s="424"/>
      <c r="O38" s="424"/>
      <c r="P38" s="145"/>
      <c r="Q38" s="145"/>
      <c r="R38" s="145"/>
      <c r="S38" s="145"/>
      <c r="T38" s="145"/>
    </row>
    <row r="39" spans="1:20">
      <c r="A39" s="418" t="s">
        <v>248</v>
      </c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24"/>
      <c r="N39" s="424"/>
      <c r="O39" s="424"/>
      <c r="P39" s="360"/>
      <c r="Q39" s="360"/>
      <c r="R39" s="145"/>
      <c r="S39" s="145"/>
      <c r="T39" s="145"/>
    </row>
    <row r="40" spans="1:20">
      <c r="A40" s="418" t="s">
        <v>249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27" t="str">
        <f>IF(P39="GJ/rok",(M37+(M38*3.6))-M39,IF(P39="MWh/rok",((M37/3.6)+M38)-M39,"N/d"))</f>
        <v>N/d</v>
      </c>
      <c r="N40" s="427"/>
      <c r="O40" s="427"/>
      <c r="P40" s="429" t="str">
        <f>IF(P39="GJ/rok","GJ/rok",IF(P39="MWh/rok","MWh/rok",""))</f>
        <v/>
      </c>
      <c r="Q40" s="429"/>
      <c r="R40" s="145"/>
      <c r="S40" s="145"/>
      <c r="T40" s="145"/>
    </row>
    <row r="41" spans="1:20" ht="5.25" customHeight="1">
      <c r="A41" s="144"/>
      <c r="B41" s="42"/>
      <c r="C41" s="42"/>
      <c r="D41" s="42"/>
      <c r="E41" s="42"/>
      <c r="F41" s="4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ht="16.2">
      <c r="A42" s="431" t="s">
        <v>384</v>
      </c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</row>
    <row r="43" spans="1:20" ht="3" customHeight="1">
      <c r="L43" s="145"/>
      <c r="M43" s="145"/>
      <c r="N43" s="145"/>
      <c r="O43" s="145"/>
      <c r="P43" s="145"/>
      <c r="Q43" s="145"/>
      <c r="R43" s="145"/>
      <c r="S43" s="145"/>
      <c r="T43" s="145"/>
    </row>
    <row r="44" spans="1:20">
      <c r="A44" s="269" t="s">
        <v>167</v>
      </c>
      <c r="B44" s="269"/>
      <c r="C44" s="269"/>
      <c r="D44" s="269"/>
      <c r="E44" s="269"/>
      <c r="F44" s="269"/>
      <c r="G44" s="269"/>
      <c r="H44" s="269"/>
      <c r="I44" s="269" t="s">
        <v>168</v>
      </c>
      <c r="J44" s="269"/>
      <c r="K44" s="269"/>
      <c r="L44" s="269"/>
      <c r="M44" s="269"/>
      <c r="N44" s="269"/>
      <c r="O44" s="269" t="s">
        <v>112</v>
      </c>
      <c r="P44" s="269"/>
      <c r="Q44" s="269"/>
      <c r="R44" s="269"/>
      <c r="S44" s="269"/>
      <c r="T44" s="269"/>
    </row>
    <row r="45" spans="1:20" ht="24.9" customHeight="1">
      <c r="A45" s="361" t="s">
        <v>411</v>
      </c>
      <c r="B45" s="361"/>
      <c r="C45" s="361"/>
      <c r="D45" s="361"/>
      <c r="E45" s="361"/>
      <c r="F45" s="361"/>
      <c r="G45" s="361"/>
      <c r="H45" s="361"/>
      <c r="I45" s="334"/>
      <c r="J45" s="432"/>
      <c r="K45" s="432"/>
      <c r="L45" s="432"/>
      <c r="M45" s="432"/>
      <c r="N45" s="433"/>
      <c r="O45" s="333"/>
      <c r="P45" s="333"/>
      <c r="Q45" s="333"/>
      <c r="R45" s="333"/>
      <c r="S45" s="333"/>
      <c r="T45" s="333"/>
    </row>
    <row r="46" spans="1:20" ht="24.9" customHeight="1">
      <c r="A46" s="280" t="s">
        <v>182</v>
      </c>
      <c r="B46" s="312"/>
      <c r="C46" s="312"/>
      <c r="D46" s="312"/>
      <c r="E46" s="312"/>
      <c r="F46" s="312"/>
      <c r="G46" s="312"/>
      <c r="H46" s="281"/>
      <c r="I46" s="434"/>
      <c r="J46" s="434"/>
      <c r="K46" s="434"/>
      <c r="L46" s="434"/>
      <c r="M46" s="434"/>
      <c r="N46" s="434"/>
      <c r="O46" s="435"/>
      <c r="P46" s="435"/>
      <c r="Q46" s="435"/>
      <c r="R46" s="435"/>
      <c r="S46" s="435"/>
      <c r="T46" s="435"/>
    </row>
    <row r="47" spans="1:20">
      <c r="A47" s="278" t="s">
        <v>196</v>
      </c>
      <c r="B47" s="278"/>
      <c r="C47" s="278"/>
      <c r="D47" s="278"/>
      <c r="E47" s="278"/>
      <c r="F47" s="278"/>
      <c r="G47" s="278"/>
      <c r="H47" s="278"/>
      <c r="I47" s="301" t="str">
        <f>IF(M37&lt;&gt;"",M37,"")</f>
        <v/>
      </c>
      <c r="J47" s="301"/>
      <c r="K47" s="301"/>
      <c r="L47" s="301"/>
      <c r="M47" s="301"/>
      <c r="N47" s="301"/>
      <c r="O47" s="301" t="str">
        <f>IF(O46&lt;&gt;"",M40,"")</f>
        <v/>
      </c>
      <c r="P47" s="301"/>
      <c r="Q47" s="301"/>
      <c r="R47" s="301"/>
      <c r="S47" s="301"/>
      <c r="T47" s="301"/>
    </row>
    <row r="48" spans="1:20" ht="14.25" customHeight="1">
      <c r="A48" s="418" t="s">
        <v>197</v>
      </c>
      <c r="B48" s="418"/>
      <c r="C48" s="418"/>
      <c r="D48" s="418"/>
      <c r="E48" s="418"/>
      <c r="F48" s="418"/>
      <c r="G48" s="418"/>
      <c r="H48" s="418"/>
      <c r="I48" s="305" t="str">
        <f>IF(I46&lt;&gt;"",VLOOKUP(H123,KOBIZE!T7:X57,5),"N/d")</f>
        <v>N/d</v>
      </c>
      <c r="J48" s="305"/>
      <c r="K48" s="305"/>
      <c r="L48" s="305"/>
      <c r="M48" s="305"/>
      <c r="N48" s="305"/>
      <c r="O48" s="305" t="str">
        <f>IF(O46&lt;&gt;"",VLOOKUP(J123,KOBIZE!T7:X57,5),"N/d")</f>
        <v>N/d</v>
      </c>
      <c r="P48" s="305"/>
      <c r="Q48" s="305"/>
      <c r="R48" s="305"/>
      <c r="S48" s="305"/>
      <c r="T48" s="305"/>
    </row>
    <row r="49" spans="1:20" ht="5.25" customHeight="1">
      <c r="L49" s="145"/>
      <c r="M49" s="145"/>
      <c r="N49" s="145"/>
      <c r="O49" s="145"/>
      <c r="P49" s="145"/>
      <c r="Q49" s="145"/>
      <c r="R49" s="145"/>
      <c r="S49" s="145"/>
      <c r="T49" s="145"/>
    </row>
    <row r="50" spans="1:20">
      <c r="A50" s="279" t="s">
        <v>109</v>
      </c>
      <c r="B50" s="279"/>
      <c r="C50" s="279"/>
      <c r="D50" s="279"/>
      <c r="E50" s="279"/>
      <c r="F50" s="279"/>
      <c r="G50" s="279"/>
      <c r="H50" s="279"/>
      <c r="I50" s="437" t="s">
        <v>110</v>
      </c>
      <c r="J50" s="437"/>
      <c r="K50" s="437"/>
      <c r="L50" s="437"/>
      <c r="M50" s="437"/>
      <c r="N50" s="437"/>
      <c r="O50" s="437" t="s">
        <v>111</v>
      </c>
      <c r="P50" s="437"/>
      <c r="Q50" s="437"/>
      <c r="R50" s="437"/>
      <c r="S50" s="437"/>
      <c r="T50" s="437"/>
    </row>
    <row r="51" spans="1:20">
      <c r="A51" s="279"/>
      <c r="B51" s="279"/>
      <c r="C51" s="279"/>
      <c r="D51" s="279"/>
      <c r="E51" s="279"/>
      <c r="F51" s="279"/>
      <c r="G51" s="279"/>
      <c r="H51" s="279"/>
      <c r="I51" s="438" t="s">
        <v>115</v>
      </c>
      <c r="J51" s="439"/>
      <c r="K51" s="440"/>
      <c r="L51" s="441" t="s">
        <v>112</v>
      </c>
      <c r="M51" s="442"/>
      <c r="N51" s="443"/>
      <c r="O51" s="444" t="s">
        <v>113</v>
      </c>
      <c r="P51" s="444"/>
      <c r="Q51" s="444"/>
      <c r="R51" s="444" t="s">
        <v>114</v>
      </c>
      <c r="S51" s="444"/>
      <c r="T51" s="444"/>
    </row>
    <row r="52" spans="1:20">
      <c r="A52" s="428">
        <v>1</v>
      </c>
      <c r="B52" s="428"/>
      <c r="C52" s="428"/>
      <c r="D52" s="428"/>
      <c r="E52" s="428"/>
      <c r="F52" s="428"/>
      <c r="G52" s="428"/>
      <c r="H52" s="428"/>
      <c r="I52" s="430">
        <v>2</v>
      </c>
      <c r="J52" s="430"/>
      <c r="K52" s="430"/>
      <c r="L52" s="430">
        <v>3</v>
      </c>
      <c r="M52" s="430"/>
      <c r="N52" s="430"/>
      <c r="O52" s="430">
        <v>4</v>
      </c>
      <c r="P52" s="430"/>
      <c r="Q52" s="430"/>
      <c r="R52" s="430">
        <v>5</v>
      </c>
      <c r="S52" s="430"/>
      <c r="T52" s="430"/>
    </row>
    <row r="53" spans="1:20">
      <c r="A53" s="311" t="s">
        <v>358</v>
      </c>
      <c r="B53" s="311"/>
      <c r="C53" s="311"/>
      <c r="D53" s="311"/>
      <c r="E53" s="311"/>
      <c r="F53" s="311"/>
      <c r="G53" s="311"/>
      <c r="H53" s="311"/>
      <c r="I53" s="352" t="str">
        <f>IF(I47&lt;&gt;"",I47*I48,"")</f>
        <v/>
      </c>
      <c r="J53" s="352"/>
      <c r="K53" s="352"/>
      <c r="L53" s="352" t="str">
        <f>IF(O47&lt;&gt;"",O47*O48,"")</f>
        <v/>
      </c>
      <c r="M53" s="352"/>
      <c r="N53" s="352"/>
      <c r="O53" s="436" t="str">
        <f>IF(I53&lt;&gt;"",I53-L53,"N/d")</f>
        <v>N/d</v>
      </c>
      <c r="P53" s="436"/>
      <c r="Q53" s="436"/>
      <c r="R53" s="301" t="str">
        <f>IF(I53&lt;&gt;"",(O53/I53)*100,"N/d")</f>
        <v>N/d</v>
      </c>
      <c r="S53" s="301"/>
      <c r="T53" s="301"/>
    </row>
    <row r="54" spans="1:20">
      <c r="A54" s="51"/>
      <c r="B54" s="42"/>
      <c r="C54" s="42"/>
      <c r="D54" s="42"/>
      <c r="E54" s="42"/>
      <c r="F54" s="42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0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296" t="s">
        <v>391</v>
      </c>
      <c r="N59" s="296"/>
      <c r="O59" s="296"/>
      <c r="P59" s="296"/>
      <c r="Q59" s="296"/>
      <c r="R59" s="296"/>
      <c r="S59" s="296"/>
      <c r="T59" s="296"/>
    </row>
    <row r="60" spans="1:20">
      <c r="A60" s="42"/>
      <c r="B60" s="395" t="str">
        <f ca="1">TEXT(TODAY(),"dd.mm.rrrr")</f>
        <v>18.02.2025</v>
      </c>
      <c r="C60" s="395"/>
      <c r="D60" s="395"/>
      <c r="E60" s="395"/>
      <c r="F60" s="199"/>
      <c r="G60" s="199"/>
      <c r="M60" s="294" t="s">
        <v>328</v>
      </c>
      <c r="N60" s="294"/>
      <c r="O60" s="294"/>
      <c r="P60" s="294"/>
      <c r="Q60" s="294"/>
      <c r="R60" s="294"/>
      <c r="S60" s="294"/>
      <c r="T60" s="294"/>
    </row>
    <row r="61" spans="1:20">
      <c r="B61" s="267" t="s">
        <v>179</v>
      </c>
      <c r="C61" s="267"/>
      <c r="D61" s="267"/>
      <c r="E61" s="267"/>
      <c r="F61" s="50"/>
      <c r="I61" s="65"/>
      <c r="M61" s="295"/>
      <c r="N61" s="295"/>
      <c r="O61" s="295"/>
      <c r="P61" s="295"/>
      <c r="Q61" s="295"/>
      <c r="R61" s="295"/>
      <c r="S61" s="295"/>
      <c r="T61" s="295"/>
    </row>
    <row r="62" spans="1:20" ht="48" customHeight="1">
      <c r="A62" s="292" t="s">
        <v>420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</row>
    <row r="63" spans="1:20" ht="16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88" spans="21:27" hidden="1"/>
    <row r="89" spans="21:27" hidden="1"/>
    <row r="90" spans="21:27" ht="23.25" hidden="1" customHeight="1">
      <c r="U90" s="37" t="s">
        <v>256</v>
      </c>
      <c r="V90" s="415" t="s">
        <v>257</v>
      </c>
      <c r="W90" s="415"/>
      <c r="X90" s="415"/>
      <c r="Y90" s="37">
        <v>0.81200000000000006</v>
      </c>
      <c r="Z90" s="37" t="s">
        <v>258</v>
      </c>
      <c r="AA90" s="38"/>
    </row>
    <row r="91" spans="21:27" ht="30" hidden="1" customHeight="1">
      <c r="U91" s="37" t="s">
        <v>259</v>
      </c>
      <c r="V91" s="415" t="s">
        <v>260</v>
      </c>
      <c r="W91" s="415"/>
      <c r="X91" s="415"/>
      <c r="Y91" s="37">
        <v>0.33800000000000002</v>
      </c>
      <c r="Z91" s="37" t="s">
        <v>258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36" t="s">
        <v>118</v>
      </c>
      <c r="I99" s="236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idden="1">
      <c r="A100" s="38"/>
      <c r="B100" s="38"/>
      <c r="C100" s="38"/>
      <c r="D100" s="38"/>
      <c r="E100" s="38"/>
      <c r="F100" s="38"/>
      <c r="G100" s="38"/>
      <c r="H100" s="44" t="s">
        <v>119</v>
      </c>
      <c r="I100" s="44" t="s">
        <v>120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201</v>
      </c>
      <c r="V100" s="38" t="s">
        <v>201</v>
      </c>
      <c r="W100" s="38" t="s">
        <v>202</v>
      </c>
    </row>
    <row r="101" spans="1:23" ht="16.2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367</v>
      </c>
      <c r="W101" s="37" t="s">
        <v>76</v>
      </c>
    </row>
    <row r="102" spans="1:23" hidden="1">
      <c r="A102" s="93">
        <v>1</v>
      </c>
      <c r="B102" s="94" t="s">
        <v>117</v>
      </c>
      <c r="D102" s="38"/>
      <c r="E102" s="131" t="s">
        <v>203</v>
      </c>
      <c r="F102" s="38"/>
      <c r="G102" s="38"/>
      <c r="H102" s="38" t="s">
        <v>121</v>
      </c>
      <c r="I102" s="38" t="s">
        <v>121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122</v>
      </c>
      <c r="U102" s="38">
        <v>0</v>
      </c>
      <c r="V102" s="38">
        <v>0</v>
      </c>
      <c r="W102" s="38">
        <v>0</v>
      </c>
    </row>
    <row r="103" spans="1:23" hidden="1">
      <c r="A103" s="93">
        <v>2</v>
      </c>
      <c r="B103" s="94" t="s">
        <v>144</v>
      </c>
      <c r="D103" s="38"/>
      <c r="E103" s="132">
        <v>860</v>
      </c>
      <c r="F103" s="38"/>
      <c r="G103" s="38"/>
      <c r="H103" s="52" t="s">
        <v>108</v>
      </c>
      <c r="I103" s="133">
        <v>1</v>
      </c>
      <c r="J103" s="38">
        <v>0</v>
      </c>
      <c r="K103" s="134" t="s">
        <v>107</v>
      </c>
      <c r="L103" s="38"/>
      <c r="M103" s="134" t="s">
        <v>106</v>
      </c>
      <c r="N103" s="38"/>
      <c r="O103" s="52" t="s">
        <v>50</v>
      </c>
      <c r="P103" s="38"/>
      <c r="Q103" s="38">
        <v>1</v>
      </c>
      <c r="R103" s="38"/>
      <c r="S103" s="119"/>
      <c r="T103" s="52"/>
      <c r="U103" s="53"/>
      <c r="V103" s="53"/>
      <c r="W103" s="53"/>
    </row>
    <row r="104" spans="1:23" hidden="1">
      <c r="A104" s="93">
        <v>3</v>
      </c>
      <c r="B104" s="94" t="s">
        <v>15</v>
      </c>
      <c r="D104" s="38"/>
      <c r="E104" s="38"/>
      <c r="F104" s="38"/>
      <c r="G104" s="38"/>
      <c r="H104" s="52" t="s">
        <v>105</v>
      </c>
      <c r="I104" s="133">
        <v>2</v>
      </c>
      <c r="J104" s="38"/>
      <c r="K104" s="134" t="s">
        <v>104</v>
      </c>
      <c r="L104" s="38"/>
      <c r="M104" s="134" t="s">
        <v>103</v>
      </c>
      <c r="N104" s="38"/>
      <c r="O104" s="52" t="s">
        <v>49</v>
      </c>
      <c r="P104" s="38"/>
      <c r="Q104" s="38">
        <v>2</v>
      </c>
      <c r="R104" s="38"/>
      <c r="S104" s="119"/>
      <c r="T104" s="52"/>
      <c r="U104" s="53"/>
      <c r="V104" s="53"/>
      <c r="W104" s="53"/>
    </row>
    <row r="105" spans="1:23" hidden="1">
      <c r="A105" s="93">
        <v>4</v>
      </c>
      <c r="B105" s="94" t="s">
        <v>145</v>
      </c>
      <c r="D105" s="38"/>
      <c r="E105" s="38"/>
      <c r="F105" s="38"/>
      <c r="G105" s="38"/>
      <c r="H105" s="52" t="s">
        <v>102</v>
      </c>
      <c r="I105" s="133">
        <v>3</v>
      </c>
      <c r="J105" s="38"/>
      <c r="K105" s="134" t="s">
        <v>101</v>
      </c>
      <c r="L105" s="38"/>
      <c r="M105" s="134" t="s">
        <v>100</v>
      </c>
      <c r="N105" s="38"/>
      <c r="O105" s="52" t="s">
        <v>82</v>
      </c>
      <c r="P105" s="38"/>
      <c r="Q105" s="38">
        <v>1</v>
      </c>
      <c r="R105" s="38"/>
      <c r="S105" s="119"/>
      <c r="T105" s="52"/>
      <c r="U105" s="53"/>
      <c r="V105" s="53"/>
      <c r="W105" s="53"/>
    </row>
    <row r="106" spans="1:23" hidden="1">
      <c r="A106" s="93">
        <v>5</v>
      </c>
      <c r="B106" s="94" t="s">
        <v>149</v>
      </c>
      <c r="D106" s="38"/>
      <c r="E106" s="38"/>
      <c r="F106" s="38"/>
      <c r="G106" s="38"/>
      <c r="H106" s="52" t="s">
        <v>99</v>
      </c>
      <c r="I106" s="133">
        <v>4</v>
      </c>
      <c r="J106" s="38"/>
      <c r="K106" s="134" t="s">
        <v>98</v>
      </c>
      <c r="L106" s="38"/>
      <c r="M106" s="134" t="s">
        <v>97</v>
      </c>
      <c r="N106" s="38"/>
      <c r="O106" s="52" t="s">
        <v>81</v>
      </c>
      <c r="P106" s="38"/>
      <c r="Q106" s="38">
        <v>2</v>
      </c>
      <c r="R106" s="38"/>
      <c r="S106" s="119"/>
      <c r="T106" s="52"/>
      <c r="U106" s="53"/>
      <c r="V106" s="53"/>
      <c r="W106" s="53"/>
    </row>
    <row r="107" spans="1:23" hidden="1">
      <c r="A107" s="93">
        <v>6</v>
      </c>
      <c r="B107" s="94" t="s">
        <v>150</v>
      </c>
      <c r="D107" s="38"/>
      <c r="E107" s="38"/>
      <c r="F107" s="38"/>
      <c r="G107" s="38"/>
      <c r="H107" s="52" t="s">
        <v>129</v>
      </c>
      <c r="I107" s="133">
        <v>5</v>
      </c>
      <c r="J107" s="38"/>
      <c r="K107" s="134" t="s">
        <v>198</v>
      </c>
      <c r="L107" s="38"/>
      <c r="M107" s="134" t="s">
        <v>96</v>
      </c>
      <c r="N107" s="38"/>
      <c r="O107" s="52" t="s">
        <v>79</v>
      </c>
      <c r="P107" s="38"/>
      <c r="Q107" s="38">
        <v>3</v>
      </c>
      <c r="R107" s="38"/>
      <c r="S107" s="119"/>
      <c r="T107" s="52"/>
      <c r="U107" s="53"/>
      <c r="V107" s="53"/>
      <c r="W107" s="53"/>
    </row>
    <row r="108" spans="1:23" hidden="1">
      <c r="A108" s="93">
        <v>7</v>
      </c>
      <c r="B108" s="94" t="s">
        <v>146</v>
      </c>
      <c r="D108" s="38"/>
      <c r="E108" s="38"/>
      <c r="F108" s="38"/>
      <c r="G108" s="38"/>
      <c r="H108" s="52" t="s">
        <v>130</v>
      </c>
      <c r="I108" s="133">
        <v>6</v>
      </c>
      <c r="J108" s="38"/>
      <c r="K108" s="134" t="s">
        <v>135</v>
      </c>
      <c r="L108" s="38"/>
      <c r="M108" s="134" t="s">
        <v>95</v>
      </c>
      <c r="N108" s="38"/>
      <c r="O108" s="52" t="s">
        <v>78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131</v>
      </c>
      <c r="I109" s="133">
        <v>7</v>
      </c>
      <c r="J109" s="38"/>
      <c r="K109" s="134" t="s">
        <v>136</v>
      </c>
      <c r="L109" s="38"/>
      <c r="M109" s="134" t="s">
        <v>94</v>
      </c>
      <c r="N109" s="38"/>
      <c r="O109" s="52" t="s">
        <v>77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132</v>
      </c>
      <c r="I110" s="133">
        <v>8</v>
      </c>
      <c r="J110" s="38"/>
      <c r="K110" s="134" t="s">
        <v>137</v>
      </c>
      <c r="L110" s="38"/>
      <c r="M110" s="134" t="s">
        <v>93</v>
      </c>
      <c r="N110" s="38"/>
      <c r="O110" s="52" t="s">
        <v>75</v>
      </c>
      <c r="P110" s="38"/>
      <c r="Q110" s="38">
        <v>3</v>
      </c>
      <c r="R110" s="38"/>
      <c r="S110" s="119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3">
        <v>9</v>
      </c>
      <c r="J111" s="38"/>
      <c r="K111" s="134" t="s">
        <v>138</v>
      </c>
      <c r="L111" s="38"/>
      <c r="M111" s="134" t="s">
        <v>91</v>
      </c>
      <c r="N111" s="38"/>
      <c r="O111" s="52" t="s">
        <v>74</v>
      </c>
      <c r="P111" s="38"/>
      <c r="Q111" s="38">
        <v>4</v>
      </c>
      <c r="R111" s="38"/>
      <c r="S111" s="119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251</v>
      </c>
      <c r="I112" s="133">
        <v>10</v>
      </c>
      <c r="J112" s="38"/>
      <c r="K112" s="134" t="s">
        <v>250</v>
      </c>
      <c r="L112" s="38"/>
      <c r="M112" s="134" t="s">
        <v>90</v>
      </c>
      <c r="N112" s="38"/>
      <c r="O112" s="52"/>
      <c r="P112" s="38"/>
      <c r="Q112" s="38"/>
      <c r="R112" s="38"/>
      <c r="S112" s="119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133</v>
      </c>
      <c r="I113" s="133">
        <v>11</v>
      </c>
      <c r="J113" s="38"/>
      <c r="K113" s="134" t="s">
        <v>253</v>
      </c>
      <c r="L113" s="38"/>
      <c r="M113" s="134" t="s">
        <v>89</v>
      </c>
      <c r="N113" s="38"/>
      <c r="O113" s="52" t="s">
        <v>140</v>
      </c>
      <c r="P113" s="38"/>
      <c r="Q113" s="38">
        <v>4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134</v>
      </c>
      <c r="I114" s="133">
        <v>12</v>
      </c>
      <c r="J114" s="38"/>
      <c r="K114" s="134" t="s">
        <v>254</v>
      </c>
      <c r="L114" s="38"/>
      <c r="M114" s="134" t="s">
        <v>87</v>
      </c>
      <c r="N114" s="38"/>
      <c r="O114" s="52" t="s">
        <v>73</v>
      </c>
      <c r="P114" s="38"/>
      <c r="Q114" s="38">
        <v>5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3">
        <v>13</v>
      </c>
      <c r="J115" s="38"/>
      <c r="K115" s="134" t="s">
        <v>255</v>
      </c>
      <c r="L115" s="38"/>
      <c r="M115" s="134" t="s">
        <v>85</v>
      </c>
      <c r="N115" s="38"/>
      <c r="O115" s="52" t="s">
        <v>72</v>
      </c>
      <c r="P115" s="38"/>
      <c r="Q115" s="38">
        <v>6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3">
        <v>14</v>
      </c>
      <c r="J116" s="38"/>
      <c r="K116" s="134" t="s">
        <v>282</v>
      </c>
      <c r="L116" s="38"/>
      <c r="M116" s="134" t="s">
        <v>83</v>
      </c>
      <c r="N116" s="38"/>
      <c r="O116" s="52"/>
      <c r="P116" s="38"/>
      <c r="Q116" s="38"/>
      <c r="R116" s="38"/>
      <c r="S116" s="119"/>
      <c r="T116" s="52"/>
      <c r="U116" s="53"/>
      <c r="V116" s="53"/>
      <c r="W116" s="53"/>
    </row>
    <row r="117" spans="1:23" hidden="1">
      <c r="A117" s="38"/>
      <c r="B117" s="44"/>
      <c r="C117" s="38"/>
      <c r="D117" s="44"/>
      <c r="E117" s="38"/>
      <c r="F117" s="38"/>
      <c r="G117" s="38"/>
      <c r="H117" s="52"/>
      <c r="I117" s="133">
        <v>15</v>
      </c>
      <c r="J117" s="38"/>
      <c r="K117" s="134" t="s">
        <v>283</v>
      </c>
      <c r="L117" s="38"/>
      <c r="M117" s="134" t="s">
        <v>252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3">
        <v>16</v>
      </c>
      <c r="J118" s="38"/>
      <c r="K118" s="134" t="s">
        <v>278</v>
      </c>
      <c r="L118" s="38"/>
      <c r="M118" s="134" t="s">
        <v>280</v>
      </c>
      <c r="N118" s="38"/>
      <c r="O118" s="52" t="s">
        <v>139</v>
      </c>
      <c r="P118" s="38"/>
      <c r="Q118" s="38">
        <v>7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3">
        <v>17</v>
      </c>
      <c r="J119" s="38"/>
      <c r="K119" s="134" t="s">
        <v>279</v>
      </c>
      <c r="L119" s="38"/>
      <c r="M119" s="134" t="s">
        <v>281</v>
      </c>
      <c r="N119" s="38"/>
      <c r="O119" s="52" t="s">
        <v>68</v>
      </c>
      <c r="P119" s="38"/>
      <c r="Q119" s="38">
        <v>8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6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9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199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7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9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200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7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7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7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7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7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7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7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7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7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7" t="str">
        <f>IF($J$122=16,O114,"")</f>
        <v/>
      </c>
      <c r="K132" s="38"/>
      <c r="L132" s="38"/>
      <c r="M132" s="38"/>
      <c r="N132" s="38"/>
      <c r="O132" s="138" t="s">
        <v>51</v>
      </c>
      <c r="P132" s="38"/>
      <c r="Q132" s="38">
        <v>21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7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7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9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7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9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7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9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7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9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7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7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7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7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7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65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7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65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7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65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7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65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7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+OT4Nre8mIzmo4B/0sRBzrknAx9V9VkACHjCsXkM9ptxGNY4r+CrmFrVaxO+yt3zEWY1Q4Xrt6qTsVJZPwvlqw==" saltValue="DvElgHgmLu5b1hanT42TBA==" spinCount="100000" sheet="1" formatRows="0"/>
  <mergeCells count="93"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30:L30"/>
    <mergeCell ref="F18:H18"/>
    <mergeCell ref="I18:L18"/>
    <mergeCell ref="A19:E19"/>
    <mergeCell ref="F19:H19"/>
    <mergeCell ref="I19:L19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62:T62"/>
    <mergeCell ref="M59:T59"/>
    <mergeCell ref="M60:T61"/>
    <mergeCell ref="H99:I99"/>
    <mergeCell ref="V90:X90"/>
    <mergeCell ref="V91:X91"/>
    <mergeCell ref="B61:E61"/>
  </mergeCells>
  <conditionalFormatting sqref="A5:T5">
    <cfRule type="cellIs" dxfId="21" priority="12" operator="equal">
      <formula>""</formula>
    </cfRule>
  </conditionalFormatting>
  <conditionalFormatting sqref="A10:T10">
    <cfRule type="cellIs" dxfId="20" priority="11" operator="equal">
      <formula>""</formula>
    </cfRule>
  </conditionalFormatting>
  <conditionalFormatting sqref="F19:H19">
    <cfRule type="cellIs" dxfId="19" priority="2" operator="equal">
      <formula>""</formula>
    </cfRule>
  </conditionalFormatting>
  <conditionalFormatting sqref="I45:I46">
    <cfRule type="cellIs" dxfId="18" priority="6" operator="equal">
      <formula>""</formula>
    </cfRule>
  </conditionalFormatting>
  <conditionalFormatting sqref="I14:L14">
    <cfRule type="cellIs" dxfId="17" priority="13" operator="equal">
      <formula>""</formula>
    </cfRule>
  </conditionalFormatting>
  <conditionalFormatting sqref="I16:L19 M23:O25">
    <cfRule type="cellIs" dxfId="16" priority="14" operator="equal">
      <formula>""</formula>
    </cfRule>
  </conditionalFormatting>
  <conditionalFormatting sqref="M30:O31">
    <cfRule type="cellIs" dxfId="15" priority="10" operator="equal">
      <formula>""</formula>
    </cfRule>
  </conditionalFormatting>
  <conditionalFormatting sqref="M37:O39">
    <cfRule type="cellIs" dxfId="14" priority="1" operator="equal">
      <formula>""</formula>
    </cfRule>
  </conditionalFormatting>
  <conditionalFormatting sqref="O45:O46">
    <cfRule type="cellIs" dxfId="13" priority="4" operator="equal">
      <formula>""</formula>
    </cfRule>
  </conditionalFormatting>
  <conditionalFormatting sqref="P39:Q39">
    <cfRule type="cellIs" dxfId="12" priority="8" operator="equal">
      <formula>""</formula>
    </cfRule>
  </conditionalFormatting>
  <dataValidations disablePrompts="1"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&amp;C&amp;"Arial,Normalny"&amp;8Strona &amp;P z &amp;N&amp;R&amp;"Arial,Normalny"&amp;8v2025-1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zoomScaleNormal="100" zoomScaleSheetLayoutView="100" workbookViewId="0">
      <selection activeCell="A7" sqref="A7:Z7"/>
    </sheetView>
  </sheetViews>
  <sheetFormatPr defaultColWidth="8" defaultRowHeight="13.8"/>
  <cols>
    <col min="1" max="26" width="2.8984375" style="21" customWidth="1"/>
    <col min="27" max="16384" width="8" style="21"/>
  </cols>
  <sheetData>
    <row r="1" spans="1:26">
      <c r="A1" s="469" t="s">
        <v>306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26">
      <c r="A2" s="457" t="s">
        <v>307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</row>
    <row r="3" spans="1:26">
      <c r="A3" s="470" t="s">
        <v>401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</row>
    <row r="4" spans="1:26" ht="3" customHeight="1"/>
    <row r="5" spans="1:26" ht="24" customHeight="1">
      <c r="A5" s="471" t="s">
        <v>392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</row>
    <row r="6" spans="1:26" ht="3" customHeight="1"/>
    <row r="7" spans="1:26" ht="45" customHeight="1">
      <c r="A7" s="472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</row>
    <row r="8" spans="1:26" ht="12" customHeight="1">
      <c r="A8" s="468" t="s">
        <v>166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</row>
    <row r="9" spans="1:26" ht="3" customHeight="1"/>
    <row r="10" spans="1:26" s="23" customFormat="1" ht="15" customHeight="1">
      <c r="A10" s="22" t="s">
        <v>308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54" t="s">
        <v>294</v>
      </c>
      <c r="P12" s="455"/>
      <c r="Q12" s="456"/>
      <c r="R12" s="464"/>
      <c r="S12" s="465"/>
      <c r="T12" s="466"/>
    </row>
    <row r="13" spans="1:26" ht="15" customHeight="1">
      <c r="A13" s="25" t="s">
        <v>309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54" t="s">
        <v>231</v>
      </c>
      <c r="P13" s="455"/>
      <c r="Q13" s="456"/>
      <c r="R13" s="464"/>
      <c r="S13" s="465"/>
      <c r="T13" s="466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54" t="s">
        <v>294</v>
      </c>
      <c r="P17" s="455"/>
      <c r="Q17" s="456"/>
      <c r="R17" s="464"/>
      <c r="S17" s="465"/>
      <c r="T17" s="466"/>
    </row>
    <row r="18" spans="1:26" ht="15" customHeight="1">
      <c r="A18" s="25" t="s">
        <v>312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4" t="s">
        <v>313</v>
      </c>
      <c r="P18" s="455"/>
      <c r="Q18" s="456"/>
      <c r="R18" s="464"/>
      <c r="S18" s="465"/>
      <c r="T18" s="466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73" t="s">
        <v>314</v>
      </c>
      <c r="B20" s="473"/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54" t="s">
        <v>316</v>
      </c>
      <c r="P22" s="455"/>
      <c r="Q22" s="455"/>
      <c r="R22" s="455"/>
      <c r="S22" s="455"/>
      <c r="T22" s="456"/>
    </row>
    <row r="23" spans="1:26" ht="15" customHeight="1">
      <c r="A23" s="25" t="s">
        <v>234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54" t="s">
        <v>231</v>
      </c>
      <c r="P23" s="455"/>
      <c r="Q23" s="456"/>
      <c r="R23" s="464"/>
      <c r="S23" s="465"/>
      <c r="T23" s="466"/>
    </row>
    <row r="24" spans="1:26" ht="15" customHeight="1">
      <c r="A24" s="25" t="s">
        <v>317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54" t="s">
        <v>231</v>
      </c>
      <c r="P24" s="455"/>
      <c r="Q24" s="456"/>
      <c r="R24" s="464"/>
      <c r="S24" s="465"/>
      <c r="T24" s="466"/>
    </row>
    <row r="25" spans="1:26" ht="15" customHeight="1">
      <c r="A25" s="25" t="s">
        <v>318</v>
      </c>
      <c r="B25" s="26"/>
      <c r="C25" s="26"/>
      <c r="D25" s="26"/>
      <c r="E25" s="26"/>
      <c r="F25" s="26"/>
      <c r="G25" s="26"/>
      <c r="H25" s="464"/>
      <c r="I25" s="465"/>
      <c r="J25" s="465"/>
      <c r="K25" s="465"/>
      <c r="L25" s="465"/>
      <c r="M25" s="465"/>
      <c r="N25" s="466"/>
      <c r="O25" s="454" t="s">
        <v>231</v>
      </c>
      <c r="P25" s="455"/>
      <c r="Q25" s="456"/>
      <c r="R25" s="464"/>
      <c r="S25" s="465"/>
      <c r="T25" s="466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6.2">
      <c r="A27" s="210" t="s">
        <v>402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46" t="s">
        <v>319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8"/>
      <c r="S29" s="454" t="s">
        <v>259</v>
      </c>
      <c r="T29" s="455"/>
      <c r="U29" s="456"/>
      <c r="V29" s="464"/>
      <c r="W29" s="465"/>
      <c r="X29" s="466"/>
    </row>
    <row r="30" spans="1:26" ht="30" customHeight="1">
      <c r="A30" s="461" t="s">
        <v>320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3"/>
      <c r="S30" s="454" t="s">
        <v>259</v>
      </c>
      <c r="T30" s="455"/>
      <c r="U30" s="456"/>
      <c r="V30" s="464"/>
      <c r="W30" s="465"/>
      <c r="X30" s="466"/>
    </row>
    <row r="31" spans="1:26" ht="15" customHeight="1">
      <c r="A31" s="446" t="s">
        <v>321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8"/>
      <c r="S31" s="454" t="s">
        <v>322</v>
      </c>
      <c r="T31" s="455"/>
      <c r="U31" s="456"/>
      <c r="V31" s="458" t="str">
        <f>IF(AND(ISNUMBER(R12),R12&lt;&gt;0,ISNUMBER(R13),R13&lt;&gt;0,OR(IF(ISNUMBER(R17)=FALSE,TRUE,FALSE),R17=0),OR(IF(ISNUMBER(R18)=FALSE,TRUE,FALSE),R18=0),ISNUMBER(V29),V29&lt;&gt;0,ISNUMBER(V30),V30&lt;&gt;0),(V29*emisyjnosc)-(V30*emisyjnosc),"")</f>
        <v/>
      </c>
      <c r="W31" s="459"/>
      <c r="X31" s="460"/>
    </row>
    <row r="32" spans="1:26" ht="15" customHeight="1">
      <c r="A32" s="446" t="s">
        <v>323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8"/>
      <c r="S32" s="454" t="s">
        <v>322</v>
      </c>
      <c r="T32" s="455"/>
      <c r="U32" s="456"/>
      <c r="V32" s="458" t="str">
        <f>IF(AND(OR(IF(ISNUMBER(R12)=FALSE,TRUE,FALSE),R12=0),OR(IF(ISNUMBER(R13)=FALSE,TRUE,FALSE),R13=0),ISNUMBER(R17),R17&lt;&gt;0,ISNUMBER(R18),R18&lt;&gt;0,ISNUMBER(V29),V29&lt;&gt;0,ISNUMBER(V30),V30&lt;&gt;0),0.3*((V29*emisyjnosc)-(V30*emisyjnosc)),"")</f>
        <v/>
      </c>
      <c r="W32" s="459"/>
      <c r="X32" s="460"/>
    </row>
    <row r="33" spans="1:26" ht="30" customHeight="1">
      <c r="A33" s="461" t="s">
        <v>324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3"/>
      <c r="S33" s="454" t="s">
        <v>322</v>
      </c>
      <c r="T33" s="455"/>
      <c r="U33" s="456"/>
      <c r="V33" s="458" t="str">
        <f>IF(AND(ISNUMBER(R12),R12&lt;&gt;0,ISNUMBER(R13),R13&lt;&gt;0,ISNUMBER(R17),R17&lt;&gt;0,ISNUMBER(R18),R18&lt;&gt;0,ISNUMBER(V29),V29&lt;&gt;0,ISNUMBER(V30),V30&lt;&gt;0),1.3*((V29*emisyjnosc)-(V30*emisyjnosc)),"")</f>
        <v/>
      </c>
      <c r="W33" s="459"/>
      <c r="X33" s="460"/>
    </row>
    <row r="34" spans="1:26" ht="30" customHeight="1">
      <c r="A34" s="446" t="s">
        <v>325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8"/>
      <c r="S34" s="449" t="s">
        <v>326</v>
      </c>
      <c r="T34" s="450"/>
      <c r="U34" s="450"/>
      <c r="V34" s="451" t="str">
        <f>IF(AND(ISNUMBER(R13),R13&lt;&gt;0),V29*1000/R13,"")</f>
        <v/>
      </c>
      <c r="W34" s="452"/>
      <c r="X34" s="453"/>
    </row>
    <row r="35" spans="1:26" ht="15" customHeight="1">
      <c r="A35" s="446" t="s">
        <v>304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8"/>
      <c r="V35" s="454" t="str">
        <f>IF(AND(ISNUMBER(R13),R13&lt;&gt;0,ISNUMBER(V29),V29&lt;&gt;0),IF(V34&gt;=900,"TAK","NIE"),"")</f>
        <v/>
      </c>
      <c r="W35" s="455"/>
      <c r="X35" s="456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>
      <c r="A38" s="213" t="str">
        <f ca="1">TEXT(TODAY(),"dd.mm.rrrr")</f>
        <v>18.02.2025</v>
      </c>
      <c r="B38" s="214"/>
      <c r="C38" s="214"/>
      <c r="D38" s="214"/>
      <c r="E38" s="214"/>
      <c r="F38" s="214"/>
      <c r="G38" s="214"/>
      <c r="H38" s="214"/>
      <c r="I38" s="215"/>
      <c r="J38" s="216"/>
      <c r="K38" s="216"/>
      <c r="L38" s="216"/>
      <c r="M38" s="216"/>
      <c r="N38" s="216"/>
      <c r="O38" s="457" t="s">
        <v>327</v>
      </c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</row>
    <row r="39" spans="1:26" ht="24" customHeight="1">
      <c r="A39" s="217" t="s">
        <v>179</v>
      </c>
      <c r="B39" s="216"/>
      <c r="C39" s="216"/>
      <c r="D39" s="216"/>
      <c r="E39" s="216"/>
      <c r="F39" s="216"/>
      <c r="G39" s="215"/>
      <c r="H39" s="217"/>
      <c r="I39" s="215"/>
      <c r="J39" s="216"/>
      <c r="K39" s="216"/>
      <c r="L39" s="216"/>
      <c r="M39" s="216"/>
      <c r="N39" s="218"/>
      <c r="O39" s="445" t="s">
        <v>328</v>
      </c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</row>
    <row r="40" spans="1:26" ht="36" customHeight="1">
      <c r="A40" s="467" t="s">
        <v>409</v>
      </c>
      <c r="B40" s="467"/>
      <c r="C40" s="467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</row>
    <row r="41" spans="1:26">
      <c r="A41" s="32"/>
    </row>
    <row r="42" spans="1:26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52" spans="2:3" ht="15" customHeight="1"/>
    <row r="58" spans="2:3">
      <c r="B58" s="33"/>
      <c r="C58" s="33"/>
    </row>
    <row r="59" spans="2:3">
      <c r="B59" s="33"/>
      <c r="C59" s="33"/>
    </row>
    <row r="60" spans="2:3">
      <c r="B60" s="33"/>
      <c r="C60" s="33"/>
    </row>
  </sheetData>
  <sheetProtection algorithmName="SHA-512" hashValue="k2SKJGhxyB4/UhFDr1NwdVkArJ4DS+frBEOWurlRnGjLq7Iz/fbe/ggynFJOWKSDuisfsXyk3IsoqipFFW5KhA==" saltValue="5NHCEmQ752X5CpA99AGKwA==" spinCount="100000" sheet="1" formatRows="0"/>
  <mergeCells count="46"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  <mergeCell ref="O22:T22"/>
    <mergeCell ref="O23:Q23"/>
    <mergeCell ref="R23:T23"/>
    <mergeCell ref="O24:Q24"/>
    <mergeCell ref="R24:T24"/>
    <mergeCell ref="H25:N25"/>
    <mergeCell ref="O25:Q25"/>
    <mergeCell ref="R25:T25"/>
    <mergeCell ref="V29:X29"/>
    <mergeCell ref="A30:R30"/>
    <mergeCell ref="S30:U30"/>
    <mergeCell ref="V30:X30"/>
    <mergeCell ref="A31:R31"/>
    <mergeCell ref="S31:U31"/>
    <mergeCell ref="V31:X31"/>
    <mergeCell ref="A29:R29"/>
    <mergeCell ref="S29:U29"/>
    <mergeCell ref="A32:R32"/>
    <mergeCell ref="S32:U32"/>
    <mergeCell ref="V32:X32"/>
    <mergeCell ref="A33:R33"/>
    <mergeCell ref="S33:U33"/>
    <mergeCell ref="V33:X33"/>
    <mergeCell ref="O39:Z39"/>
    <mergeCell ref="A34:R34"/>
    <mergeCell ref="S34:U34"/>
    <mergeCell ref="V34:X34"/>
    <mergeCell ref="A35:U35"/>
    <mergeCell ref="V35:X35"/>
    <mergeCell ref="O38:Z38"/>
  </mergeCells>
  <conditionalFormatting sqref="A7:Z7">
    <cfRule type="cellIs" dxfId="11" priority="9" operator="equal">
      <formula>""</formula>
    </cfRule>
  </conditionalFormatting>
  <conditionalFormatting sqref="H25">
    <cfRule type="cellIs" dxfId="10" priority="2" operator="equal">
      <formula>""</formula>
    </cfRule>
  </conditionalFormatting>
  <conditionalFormatting sqref="R12:T13">
    <cfRule type="cellIs" dxfId="9" priority="8" operator="equal">
      <formula>""</formula>
    </cfRule>
  </conditionalFormatting>
  <conditionalFormatting sqref="R17:T18">
    <cfRule type="cellIs" dxfId="8" priority="6" operator="equal">
      <formula>""</formula>
    </cfRule>
  </conditionalFormatting>
  <conditionalFormatting sqref="R23:T25">
    <cfRule type="cellIs" dxfId="7" priority="1" operator="equal">
      <formula>""</formula>
    </cfRule>
  </conditionalFormatting>
  <conditionalFormatting sqref="V29:X30">
    <cfRule type="cellIs" dxfId="6" priority="5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&amp;N&amp;R&amp;"Arial,Normalny"&amp;8v2025-1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63"/>
  <sheetViews>
    <sheetView zoomScaleNormal="100" zoomScaleSheetLayoutView="100" workbookViewId="0">
      <selection activeCell="A7" sqref="A7:Z7"/>
    </sheetView>
  </sheetViews>
  <sheetFormatPr defaultColWidth="8" defaultRowHeight="13.8"/>
  <cols>
    <col min="1" max="23" width="2.8984375" style="21" customWidth="1"/>
    <col min="24" max="24" width="5" style="21" customWidth="1"/>
    <col min="25" max="26" width="2.8984375" style="21" customWidth="1"/>
    <col min="27" max="16384" width="8" style="21"/>
  </cols>
  <sheetData>
    <row r="1" spans="1:34">
      <c r="A1" s="469" t="s">
        <v>329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</row>
    <row r="2" spans="1:34">
      <c r="A2" s="457" t="s">
        <v>307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</row>
    <row r="3" spans="1:34">
      <c r="A3" s="457" t="s">
        <v>387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</row>
    <row r="4" spans="1:34" ht="3" customHeight="1"/>
    <row r="5" spans="1:34" ht="24" customHeight="1">
      <c r="A5" s="471" t="s">
        <v>392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</row>
    <row r="6" spans="1:34" ht="3" customHeight="1"/>
    <row r="7" spans="1:34" ht="45" customHeight="1">
      <c r="A7" s="472"/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</row>
    <row r="8" spans="1:34" ht="12" customHeight="1">
      <c r="A8" s="468" t="s">
        <v>166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</row>
    <row r="9" spans="1:34" ht="3" customHeight="1"/>
    <row r="10" spans="1:34" s="23" customFormat="1" ht="30" customHeight="1">
      <c r="A10" s="473" t="s">
        <v>330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D10" s="21"/>
      <c r="AE10" s="21"/>
      <c r="AF10" s="21"/>
      <c r="AG10" s="21"/>
      <c r="AH10" s="21"/>
    </row>
    <row r="11" spans="1:34" ht="3" customHeight="1">
      <c r="A11" s="478"/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</row>
    <row r="12" spans="1:34" ht="15" customHeight="1">
      <c r="A12" s="446" t="s">
        <v>331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8"/>
      <c r="S12" s="454" t="s">
        <v>294</v>
      </c>
      <c r="T12" s="455"/>
      <c r="U12" s="456"/>
      <c r="V12" s="464">
        <v>2</v>
      </c>
      <c r="W12" s="465"/>
      <c r="X12" s="466"/>
    </row>
    <row r="13" spans="1:34" ht="15" customHeight="1">
      <c r="A13" s="446" t="s">
        <v>332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8"/>
      <c r="S13" s="454" t="s">
        <v>231</v>
      </c>
      <c r="T13" s="455"/>
      <c r="U13" s="456"/>
      <c r="V13" s="474"/>
      <c r="W13" s="475"/>
      <c r="X13" s="476"/>
    </row>
    <row r="14" spans="1:34" ht="15" customHeight="1">
      <c r="A14" s="221" t="s">
        <v>416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3"/>
      <c r="S14" s="224"/>
      <c r="T14" s="225" t="s">
        <v>413</v>
      </c>
      <c r="U14" s="226"/>
      <c r="V14" s="474"/>
      <c r="W14" s="475"/>
      <c r="X14" s="476"/>
    </row>
    <row r="15" spans="1:34" ht="15" customHeight="1">
      <c r="A15" s="446" t="s">
        <v>333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8"/>
      <c r="S15" s="454" t="s">
        <v>322</v>
      </c>
      <c r="T15" s="455"/>
      <c r="U15" s="456"/>
      <c r="V15" s="458" t="str">
        <f>IF(AND(V12&lt;&gt;"",V13&lt;&gt;"",V14&lt;&gt;""),Dane!D9*(((V13*V14*Dane!D10)/Dane!D5)*(Dane!D7/10^6)),"")</f>
        <v/>
      </c>
      <c r="W15" s="459"/>
      <c r="X15" s="460"/>
    </row>
    <row r="16" spans="1:34" ht="15" customHeight="1">
      <c r="A16" s="27"/>
      <c r="B16" s="28"/>
      <c r="C16" s="28"/>
      <c r="D16" s="28"/>
      <c r="E16" s="28"/>
      <c r="F16" s="28"/>
    </row>
    <row r="17" spans="1:34" s="23" customFormat="1" ht="30" customHeight="1">
      <c r="A17" s="473" t="s">
        <v>334</v>
      </c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3"/>
      <c r="Y17" s="473"/>
      <c r="Z17" s="473"/>
      <c r="AD17" s="21"/>
      <c r="AE17" s="21"/>
      <c r="AF17" s="21"/>
      <c r="AG17" s="21"/>
      <c r="AH17" s="21"/>
    </row>
    <row r="18" spans="1:34" ht="3" customHeight="1">
      <c r="A18" s="478"/>
      <c r="B18" s="478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</row>
    <row r="19" spans="1:34" ht="15" customHeight="1">
      <c r="A19" s="446" t="s">
        <v>331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8"/>
      <c r="S19" s="454" t="s">
        <v>294</v>
      </c>
      <c r="T19" s="455"/>
      <c r="U19" s="456"/>
      <c r="V19" s="464"/>
      <c r="W19" s="465"/>
      <c r="X19" s="466"/>
    </row>
    <row r="20" spans="1:34" ht="15" customHeight="1">
      <c r="A20" s="446" t="s">
        <v>332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8"/>
      <c r="S20" s="454" t="s">
        <v>231</v>
      </c>
      <c r="T20" s="455"/>
      <c r="U20" s="456"/>
      <c r="V20" s="474"/>
      <c r="W20" s="475"/>
      <c r="X20" s="476"/>
    </row>
    <row r="21" spans="1:34" ht="15" customHeight="1">
      <c r="A21" s="446" t="s">
        <v>416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8"/>
      <c r="S21" s="454" t="s">
        <v>413</v>
      </c>
      <c r="T21" s="455"/>
      <c r="U21" s="456"/>
      <c r="V21" s="474"/>
      <c r="W21" s="475"/>
      <c r="X21" s="476"/>
    </row>
    <row r="22" spans="1:34" ht="15" customHeight="1">
      <c r="A22" s="446" t="s">
        <v>335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8"/>
      <c r="S22" s="454" t="s">
        <v>322</v>
      </c>
      <c r="T22" s="455"/>
      <c r="U22" s="456"/>
      <c r="V22" s="458" t="str">
        <f>IF(AND(V19&lt;&gt;"",V20&lt;&gt;"",V21&lt;&gt;""),Dane!D9*(((V20*V21*Dane!D10)/Dane!D6)*(Dane!D8/10^6)),"")</f>
        <v/>
      </c>
      <c r="W22" s="459"/>
      <c r="X22" s="460"/>
    </row>
    <row r="23" spans="1:34" ht="15" customHeight="1">
      <c r="A23" s="27"/>
      <c r="B23" s="28"/>
      <c r="C23" s="28"/>
      <c r="D23" s="28"/>
      <c r="E23" s="28"/>
      <c r="F23" s="28"/>
    </row>
    <row r="24" spans="1:34" s="23" customFormat="1" ht="30" customHeight="1">
      <c r="A24" s="473" t="s">
        <v>336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3"/>
      <c r="U24" s="473"/>
      <c r="V24" s="473"/>
      <c r="W24" s="473"/>
      <c r="X24" s="473"/>
      <c r="Y24" s="473"/>
      <c r="Z24" s="473"/>
    </row>
    <row r="25" spans="1:34" ht="3" customHeight="1">
      <c r="A25" s="478"/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</row>
    <row r="26" spans="1:34" ht="15" customHeight="1">
      <c r="A26" s="446" t="s">
        <v>337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8"/>
      <c r="S26" s="454" t="s">
        <v>338</v>
      </c>
      <c r="T26" s="455"/>
      <c r="U26" s="456"/>
      <c r="V26" s="464"/>
      <c r="W26" s="465"/>
      <c r="X26" s="466"/>
    </row>
    <row r="27" spans="1:34" ht="30" customHeight="1">
      <c r="A27" s="461" t="s">
        <v>339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  <c r="R27" s="463"/>
      <c r="S27" s="454" t="s">
        <v>294</v>
      </c>
      <c r="T27" s="455"/>
      <c r="U27" s="456"/>
      <c r="V27" s="464"/>
      <c r="W27" s="465"/>
      <c r="X27" s="466"/>
    </row>
    <row r="28" spans="1:34" ht="15" customHeight="1">
      <c r="A28" s="446" t="s">
        <v>333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8"/>
      <c r="S28" s="454" t="s">
        <v>322</v>
      </c>
      <c r="T28" s="455"/>
      <c r="U28" s="456"/>
      <c r="V28" s="458" t="str">
        <f>IF(AND(V26&lt;&gt;"",V27&lt;&gt;""),V26*emisja.osobowy/1000000,"")</f>
        <v/>
      </c>
      <c r="W28" s="459"/>
      <c r="X28" s="460"/>
    </row>
    <row r="29" spans="1:34" ht="15" customHeight="1">
      <c r="A29" s="27"/>
      <c r="B29" s="28"/>
      <c r="C29" s="28"/>
      <c r="D29" s="28"/>
      <c r="E29" s="28"/>
      <c r="F29" s="28"/>
    </row>
    <row r="30" spans="1:34" s="23" customFormat="1" ht="30" customHeight="1">
      <c r="A30" s="473" t="s">
        <v>340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</row>
    <row r="31" spans="1:34" ht="15" customHeight="1">
      <c r="A31" s="446" t="s">
        <v>337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8"/>
      <c r="S31" s="454" t="s">
        <v>338</v>
      </c>
      <c r="T31" s="455"/>
      <c r="U31" s="456"/>
      <c r="V31" s="464"/>
      <c r="W31" s="465"/>
      <c r="X31" s="466"/>
    </row>
    <row r="32" spans="1:34" ht="30" customHeight="1">
      <c r="A32" s="461" t="s">
        <v>341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3"/>
      <c r="S32" s="454" t="s">
        <v>294</v>
      </c>
      <c r="T32" s="455"/>
      <c r="U32" s="456"/>
      <c r="V32" s="464"/>
      <c r="W32" s="465"/>
      <c r="X32" s="466"/>
    </row>
    <row r="33" spans="1:26" ht="15" customHeight="1">
      <c r="A33" s="446" t="s">
        <v>335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8"/>
      <c r="S33" s="454" t="s">
        <v>322</v>
      </c>
      <c r="T33" s="455"/>
      <c r="U33" s="456"/>
      <c r="V33" s="458" t="str">
        <f>IF(AND(V31&lt;&gt;"",V32&lt;&gt;""),V31*emisja.pozostaly/1000000,"")</f>
        <v/>
      </c>
      <c r="W33" s="459"/>
      <c r="X33" s="460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78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</row>
    <row r="37" spans="1:26" ht="15" customHeight="1">
      <c r="A37" s="446" t="s">
        <v>343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8"/>
      <c r="S37" s="454" t="s">
        <v>322</v>
      </c>
      <c r="T37" s="455"/>
      <c r="U37" s="456"/>
      <c r="V37" s="458" t="str">
        <f>IF(OR(V15&lt;&gt;"",V22&lt;&gt;"",V28&lt;&gt;"",V33&lt;&gt;""),MAX(V15,V28)+MAX(V22,V33),"")</f>
        <v/>
      </c>
      <c r="W37" s="459"/>
      <c r="X37" s="460"/>
      <c r="Y37" s="23"/>
    </row>
    <row r="38" spans="1:26" ht="15" customHeight="1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7"/>
      <c r="W38" s="207"/>
      <c r="X38" s="207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>
      <c r="A40" s="213" t="str">
        <f ca="1">TEXT(TODAY(),"dd.mm.rrrr")</f>
        <v>18.02.2025</v>
      </c>
      <c r="B40" s="214"/>
      <c r="C40" s="214"/>
      <c r="D40" s="214"/>
      <c r="E40" s="214"/>
      <c r="F40" s="214"/>
      <c r="G40" s="214"/>
      <c r="H40" s="214"/>
      <c r="I40" s="215"/>
      <c r="J40" s="216"/>
      <c r="K40" s="216"/>
      <c r="L40" s="216"/>
      <c r="M40" s="216"/>
      <c r="N40" s="216"/>
      <c r="O40" s="457" t="s">
        <v>327</v>
      </c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</row>
    <row r="41" spans="1:26" ht="24" customHeight="1">
      <c r="A41" s="217" t="s">
        <v>179</v>
      </c>
      <c r="B41" s="216"/>
      <c r="C41" s="216"/>
      <c r="D41" s="216"/>
      <c r="E41" s="216"/>
      <c r="F41" s="216"/>
      <c r="G41" s="215"/>
      <c r="H41" s="217"/>
      <c r="I41" s="215"/>
      <c r="J41" s="216"/>
      <c r="K41" s="216"/>
      <c r="L41" s="216"/>
      <c r="M41" s="216"/>
      <c r="N41" s="218"/>
      <c r="O41" s="445" t="s">
        <v>328</v>
      </c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6" ht="24" customHeight="1">
      <c r="A43" s="467" t="s">
        <v>415</v>
      </c>
      <c r="B43" s="477"/>
      <c r="C43" s="477"/>
      <c r="D43" s="477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  <c r="Z43" s="477"/>
    </row>
    <row r="44" spans="1:26">
      <c r="A44" s="32"/>
    </row>
    <row r="45" spans="1:26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55" spans="2:3" ht="15" customHeight="1"/>
    <row r="61" spans="2:3">
      <c r="B61" s="33"/>
      <c r="C61" s="33"/>
    </row>
    <row r="62" spans="2:3">
      <c r="B62" s="33"/>
      <c r="C62" s="33"/>
    </row>
    <row r="63" spans="2:3">
      <c r="B63" s="33"/>
      <c r="C63" s="33"/>
    </row>
  </sheetData>
  <sheetProtection algorithmName="SHA-512" hashValue="7kCLqsBINjU6GwCuEtev44DKnqtao/oh8nuxFsejNSQwqRZ/xn0G8JugvU9rZyGCnCJeGUwFNpSfFkS0eJ9gfA==" saltValue="/8RTuIwjm7TFCscW0a2+lQ==" spinCount="100000" sheet="1" formatRows="0"/>
  <mergeCells count="60"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  <mergeCell ref="A20:R20"/>
    <mergeCell ref="S20:U20"/>
    <mergeCell ref="V20:X20"/>
    <mergeCell ref="A15:R15"/>
    <mergeCell ref="S15:U15"/>
    <mergeCell ref="V15:X15"/>
    <mergeCell ref="A17:Z17"/>
    <mergeCell ref="A18:Z18"/>
    <mergeCell ref="A19:R19"/>
    <mergeCell ref="S19:U19"/>
    <mergeCell ref="V19:X19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V28:X28"/>
    <mergeCell ref="A30:Z30"/>
    <mergeCell ref="A31:R31"/>
    <mergeCell ref="S31:U31"/>
    <mergeCell ref="V31:X31"/>
    <mergeCell ref="V14:X14"/>
    <mergeCell ref="A43:Z43"/>
    <mergeCell ref="O41:Z41"/>
    <mergeCell ref="A36:Z36"/>
    <mergeCell ref="A37:R37"/>
    <mergeCell ref="S37:U37"/>
    <mergeCell ref="V37:X37"/>
    <mergeCell ref="O40:Z40"/>
    <mergeCell ref="A32:R32"/>
    <mergeCell ref="S32:U32"/>
    <mergeCell ref="V32:X32"/>
    <mergeCell ref="A33:R33"/>
    <mergeCell ref="S33:U33"/>
    <mergeCell ref="V33:X33"/>
    <mergeCell ref="A28:R28"/>
    <mergeCell ref="S28:U28"/>
  </mergeCells>
  <conditionalFormatting sqref="A7:Z7">
    <cfRule type="cellIs" dxfId="5" priority="7" operator="equal">
      <formula>""</formula>
    </cfRule>
  </conditionalFormatting>
  <conditionalFormatting sqref="V21">
    <cfRule type="cellIs" dxfId="4" priority="1" operator="equal">
      <formula>""</formula>
    </cfRule>
  </conditionalFormatting>
  <conditionalFormatting sqref="V12:X13 V14">
    <cfRule type="cellIs" dxfId="3" priority="6" operator="equal">
      <formula>""</formula>
    </cfRule>
  </conditionalFormatting>
  <conditionalFormatting sqref="V19:X20">
    <cfRule type="cellIs" dxfId="2" priority="4" operator="equal">
      <formula>""</formula>
    </cfRule>
  </conditionalFormatting>
  <conditionalFormatting sqref="V26:X27">
    <cfRule type="cellIs" dxfId="1" priority="3" operator="equal">
      <formula>""</formula>
    </cfRule>
  </conditionalFormatting>
  <conditionalFormatting sqref="V31:X32">
    <cfRule type="cellIs" dxfId="0" priority="2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&amp;N&amp;R&amp;"Arial,Normalny"&amp;8v2025-2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P1" zoomScaleNormal="100" workbookViewId="0">
      <selection activeCell="X19" sqref="X19"/>
    </sheetView>
  </sheetViews>
  <sheetFormatPr defaultColWidth="9" defaultRowHeight="13.8"/>
  <cols>
    <col min="1" max="20" width="9" style="1"/>
    <col min="21" max="21" width="18.59765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479"/>
      <c r="J3" s="47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201</v>
      </c>
      <c r="W4" s="4" t="s">
        <v>201</v>
      </c>
      <c r="X4" s="4" t="s">
        <v>202</v>
      </c>
      <c r="Y4" s="4"/>
    </row>
    <row r="5" spans="2:25" ht="16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206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0">
        <v>0</v>
      </c>
      <c r="W6" s="200">
        <v>0</v>
      </c>
      <c r="X6" s="200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1">
        <v>21.2</v>
      </c>
      <c r="W7" s="201">
        <v>0</v>
      </c>
      <c r="X7" s="201">
        <v>93.76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1">
        <v>8.2100000000000009</v>
      </c>
      <c r="W8" s="201">
        <v>0</v>
      </c>
      <c r="X8" s="201">
        <v>109.48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1">
        <v>25.32</v>
      </c>
      <c r="W9" s="201">
        <v>0</v>
      </c>
      <c r="X9" s="201">
        <v>94.17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1">
        <v>21.55</v>
      </c>
      <c r="W10" s="201">
        <v>0</v>
      </c>
      <c r="X10" s="201">
        <v>94.99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1">
        <v>8.1199999999999992</v>
      </c>
      <c r="W11" s="201">
        <v>0</v>
      </c>
      <c r="X11" s="201">
        <v>110.81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1">
        <v>29.6</v>
      </c>
      <c r="W12" s="201">
        <v>0</v>
      </c>
      <c r="X12" s="201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1">
        <v>24.95</v>
      </c>
      <c r="W13" s="201">
        <v>0</v>
      </c>
      <c r="X13" s="201">
        <v>94.24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1">
        <v>22.75</v>
      </c>
      <c r="W14" s="201">
        <v>0</v>
      </c>
      <c r="X14" s="201">
        <v>94.7</v>
      </c>
      <c r="Y14" s="4"/>
    </row>
    <row r="15" spans="2:25" ht="15" customHeight="1">
      <c r="C15" s="220"/>
      <c r="D15" s="220"/>
      <c r="E15" s="220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1">
        <v>22.91</v>
      </c>
      <c r="W15" s="201">
        <v>0</v>
      </c>
      <c r="X15" s="201">
        <v>94.66</v>
      </c>
      <c r="Y15" s="4"/>
    </row>
    <row r="16" spans="2:25" ht="14.25" customHeight="1">
      <c r="C16" s="220"/>
      <c r="D16" s="220"/>
      <c r="E16" s="220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1">
        <v>22.75</v>
      </c>
      <c r="W16" s="201">
        <v>0</v>
      </c>
      <c r="X16" s="201">
        <v>94.7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1">
        <v>22.77</v>
      </c>
      <c r="W17" s="201">
        <v>0</v>
      </c>
      <c r="X17" s="201">
        <v>94.7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1">
        <v>22.82</v>
      </c>
      <c r="W18" s="201">
        <v>0</v>
      </c>
      <c r="X18" s="201">
        <v>94.68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1">
        <v>13.31</v>
      </c>
      <c r="W19" s="201">
        <v>0</v>
      </c>
      <c r="X19" s="201">
        <v>94.58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1">
        <v>23.5</v>
      </c>
      <c r="W20" s="201">
        <v>0</v>
      </c>
      <c r="X20" s="201">
        <v>94.53</v>
      </c>
      <c r="Y20" s="4"/>
    </row>
    <row r="21" spans="2:2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1">
        <v>13.31</v>
      </c>
      <c r="W21" s="201">
        <v>0</v>
      </c>
      <c r="X21" s="201">
        <v>94.58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1">
        <v>25.21</v>
      </c>
      <c r="W22" s="201">
        <v>0</v>
      </c>
      <c r="X22" s="201">
        <v>94.19</v>
      </c>
      <c r="Y22" s="4"/>
    </row>
    <row r="23" spans="2:2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1">
        <v>8</v>
      </c>
      <c r="W23" s="201">
        <v>0</v>
      </c>
      <c r="X23" s="201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2">
        <v>25.2</v>
      </c>
      <c r="W24" s="202">
        <v>0</v>
      </c>
      <c r="X24" s="202">
        <v>94.19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2">
        <v>8</v>
      </c>
      <c r="W25" s="202">
        <v>0</v>
      </c>
      <c r="X25" s="202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1">
        <v>48</v>
      </c>
      <c r="W26" s="201">
        <v>0</v>
      </c>
      <c r="X26" s="201">
        <v>55.73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1">
        <v>0</v>
      </c>
      <c r="W27" s="201">
        <v>36.840000000000003</v>
      </c>
      <c r="X27" s="201">
        <v>55.73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1">
        <v>0</v>
      </c>
      <c r="W28" s="201">
        <v>25.46</v>
      </c>
      <c r="X28" s="201">
        <v>55.73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1">
        <v>0</v>
      </c>
      <c r="W29" s="201">
        <v>16.52</v>
      </c>
      <c r="X29" s="201">
        <v>55.73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291</v>
      </c>
      <c r="V30" s="201">
        <v>40.4</v>
      </c>
      <c r="W30" s="201">
        <v>0</v>
      </c>
      <c r="X30" s="201">
        <v>76.86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1">
        <v>48</v>
      </c>
      <c r="W31" s="201">
        <v>0</v>
      </c>
      <c r="X31" s="201">
        <v>55.65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1">
        <v>0</v>
      </c>
      <c r="W32" s="201">
        <v>36.840000000000003</v>
      </c>
      <c r="X32" s="201">
        <v>55.65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1">
        <v>0</v>
      </c>
      <c r="W33" s="201">
        <v>25.46</v>
      </c>
      <c r="X33" s="201">
        <v>55.65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1">
        <v>0</v>
      </c>
      <c r="W34" s="201">
        <v>16.52</v>
      </c>
      <c r="X34" s="201">
        <v>55.65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291</v>
      </c>
      <c r="V35" s="201">
        <v>40.4</v>
      </c>
      <c r="W35" s="201">
        <v>0</v>
      </c>
      <c r="X35" s="201">
        <v>76.86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1">
        <v>20.7</v>
      </c>
      <c r="W36" s="201">
        <v>0</v>
      </c>
      <c r="X36" s="201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1">
        <v>20.7</v>
      </c>
      <c r="W37" s="201">
        <v>0</v>
      </c>
      <c r="X37" s="201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1">
        <v>42.3</v>
      </c>
      <c r="W38" s="201">
        <v>0</v>
      </c>
      <c r="X38" s="201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1">
        <v>15.6</v>
      </c>
      <c r="W39" s="201">
        <v>0</v>
      </c>
      <c r="X39" s="203">
        <v>0</v>
      </c>
      <c r="Y39" s="4" t="s">
        <v>305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1">
        <v>50.4</v>
      </c>
      <c r="W40" s="201">
        <v>0</v>
      </c>
      <c r="X40" s="201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1">
        <v>0</v>
      </c>
      <c r="W41" s="201">
        <v>0</v>
      </c>
      <c r="X41" s="201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1">
        <v>10</v>
      </c>
      <c r="W42" s="201">
        <v>0</v>
      </c>
      <c r="X42" s="201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1">
        <v>11.6</v>
      </c>
      <c r="W43" s="201">
        <v>0</v>
      </c>
      <c r="X43" s="201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1">
        <v>40.200000000000003</v>
      </c>
      <c r="W44" s="201">
        <v>0</v>
      </c>
      <c r="X44" s="201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1">
        <v>32.5</v>
      </c>
      <c r="W45" s="201">
        <v>0</v>
      </c>
      <c r="X45" s="201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1">
        <v>28.2</v>
      </c>
      <c r="W46" s="201">
        <v>0</v>
      </c>
      <c r="X46" s="201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1">
        <v>47.3</v>
      </c>
      <c r="W47" s="201">
        <v>0</v>
      </c>
      <c r="X47" s="201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1">
        <v>44.3</v>
      </c>
      <c r="W48" s="201">
        <v>0</v>
      </c>
      <c r="X48" s="201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1">
        <v>44.3</v>
      </c>
      <c r="W49" s="201">
        <v>0</v>
      </c>
      <c r="X49" s="201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1">
        <v>44.3</v>
      </c>
      <c r="W50" s="201">
        <v>0</v>
      </c>
      <c r="X50" s="201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1">
        <v>43</v>
      </c>
      <c r="W51" s="201">
        <v>0</v>
      </c>
      <c r="X51" s="201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1">
        <v>44.8</v>
      </c>
      <c r="W52" s="201">
        <v>0</v>
      </c>
      <c r="X52" s="201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1">
        <v>49.5</v>
      </c>
      <c r="W53" s="201">
        <v>0</v>
      </c>
      <c r="X53" s="201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1">
        <v>38.700000000000003</v>
      </c>
      <c r="W54" s="201">
        <v>16.739999999999998</v>
      </c>
      <c r="X54" s="201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1">
        <v>2.4700000000000002</v>
      </c>
      <c r="W55" s="201">
        <v>3.21</v>
      </c>
      <c r="X55" s="201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1">
        <v>22.14</v>
      </c>
      <c r="W56" s="201">
        <v>0</v>
      </c>
      <c r="X56" s="201">
        <v>94.84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1">
        <v>8.1300000000000008</v>
      </c>
      <c r="W57" s="201">
        <v>0</v>
      </c>
      <c r="X57" s="201">
        <v>110.71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formatRow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D11" sqref="D11"/>
    </sheetView>
  </sheetViews>
  <sheetFormatPr defaultColWidth="8" defaultRowHeight="13.8"/>
  <cols>
    <col min="1" max="2" width="8" style="35"/>
    <col min="3" max="3" width="52.69921875" style="35" customWidth="1"/>
    <col min="4" max="4" width="8" style="35"/>
    <col min="5" max="5" width="14.3984375" style="35" customWidth="1"/>
    <col min="6" max="16384" width="8" style="35"/>
  </cols>
  <sheetData>
    <row r="3" spans="3:5" ht="16.2">
      <c r="C3" s="34" t="s">
        <v>344</v>
      </c>
      <c r="D3" s="35">
        <v>0.81200000000000006</v>
      </c>
      <c r="E3" s="35" t="s">
        <v>345</v>
      </c>
    </row>
    <row r="5" spans="3:5">
      <c r="C5" s="34" t="s">
        <v>346</v>
      </c>
      <c r="D5" s="35">
        <v>0.2</v>
      </c>
      <c r="E5" s="35" t="s">
        <v>347</v>
      </c>
    </row>
    <row r="6" spans="3:5">
      <c r="C6" s="34" t="s">
        <v>348</v>
      </c>
      <c r="D6" s="35">
        <v>1.2</v>
      </c>
      <c r="E6" s="35" t="s">
        <v>347</v>
      </c>
    </row>
    <row r="7" spans="3:5" ht="16.2">
      <c r="C7" s="34" t="s">
        <v>349</v>
      </c>
      <c r="D7" s="35">
        <v>120</v>
      </c>
      <c r="E7" s="35" t="s">
        <v>350</v>
      </c>
    </row>
    <row r="8" spans="3:5" ht="16.2">
      <c r="C8" s="34" t="s">
        <v>351</v>
      </c>
      <c r="D8" s="35">
        <v>800</v>
      </c>
      <c r="E8" s="35" t="s">
        <v>350</v>
      </c>
    </row>
    <row r="9" spans="3:5" ht="30.75" customHeight="1">
      <c r="C9" s="228" t="s">
        <v>414</v>
      </c>
      <c r="D9" s="227">
        <v>0.9</v>
      </c>
      <c r="E9" s="35" t="s">
        <v>34</v>
      </c>
    </row>
    <row r="10" spans="3:5">
      <c r="C10" s="34" t="s">
        <v>417</v>
      </c>
      <c r="D10" s="35">
        <f>365/7</f>
        <v>52.142857142857146</v>
      </c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11</vt:i4>
      </vt:variant>
    </vt:vector>
  </HeadingPairs>
  <TitlesOfParts>
    <vt:vector size="20" baseType="lpstr">
      <vt:lpstr>Instrukcja</vt:lpstr>
      <vt:lpstr>OA-I</vt:lpstr>
      <vt:lpstr>OA-II</vt:lpstr>
      <vt:lpstr>OA-III</vt:lpstr>
      <vt:lpstr>OA-IV</vt:lpstr>
      <vt:lpstr>OA-V</vt:lpstr>
      <vt:lpstr>OA-VI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Złotek, Robert</cp:lastModifiedBy>
  <cp:lastPrinted>2025-02-18T10:18:42Z</cp:lastPrinted>
  <dcterms:created xsi:type="dcterms:W3CDTF">2014-02-17T14:09:35Z</dcterms:created>
  <dcterms:modified xsi:type="dcterms:W3CDTF">2025-02-18T10:20:34Z</dcterms:modified>
</cp:coreProperties>
</file>